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Mohamad\Downloads\سایت\فایل ها\حقوق و دستمزد\"/>
    </mc:Choice>
  </mc:AlternateContent>
  <xr:revisionPtr revIDLastSave="0" documentId="13_ncr:1_{34B3FDF2-0E0E-4BA1-9F5E-27B190B8507E}" xr6:coauthVersionLast="47" xr6:coauthVersionMax="47" xr10:uidLastSave="{00000000-0000-0000-0000-000000000000}"/>
  <bookViews>
    <workbookView xWindow="-120" yWindow="-120" windowWidth="20730" windowHeight="11160" tabRatio="929" xr2:uid="{00000000-000D-0000-FFFF-FFFF00000000}"/>
  </bookViews>
  <sheets>
    <sheet name="سیراف حساب" sheetId="14" r:id="rId1"/>
    <sheet name="محاسبه حقوق سال 1400" sheetId="2" r:id="rId2"/>
    <sheet name="جدول مالیات حقوق سال 1400" sheetId="5" r:id="rId3"/>
    <sheet name="قوانین پایه" sheetId="8" r:id="rId4"/>
    <sheet name="معافیت های مالیاتی و بیمه" sheetId="7" r:id="rId5"/>
    <sheet name="جداول حقوق و دستمزد" sheetId="10" r:id="rId6"/>
    <sheet name="جدول تجمیعی" sheetId="12" r:id="rId7"/>
    <sheet name="لیست ارائه شده به دارایی" sheetId="13" r:id="rId8"/>
  </sheets>
  <definedNames>
    <definedName name="_xlnm.Print_Area" localSheetId="5">'جداول حقوق و دستمزد'!$C$2:$W$445</definedName>
    <definedName name="_xlnm.Print_Area" localSheetId="6">'جدول تجمیعی'!$B$2:$Q$38</definedName>
    <definedName name="_xlnm.Print_Area" localSheetId="7">'لیست ارائه شده به دارایی'!$B$2:$V$20</definedName>
    <definedName name="پایه_سنوات_روزانه">'قوانین پایه'!$D$10</definedName>
    <definedName name="تعداد_روزهای_کاری_در_هفته">'قوانین پایه'!$D$17</definedName>
    <definedName name="حداقل_حقوق_پایه_روزانه">'قوانین پایه'!$D$4</definedName>
    <definedName name="حداقل_حقوق_ماهانه_30_روزه">'قوانین پایه'!$D$5</definedName>
    <definedName name="حق_اولاد_یک_نفر">'قوانین پایه'!$D$8</definedName>
    <definedName name="حق_خواربار">'قوانین پایه'!$D$7</definedName>
    <definedName name="حق_مسکن">'قوانین پایه'!$D$6</definedName>
    <definedName name="متوسط_ساعت_کاری_روزانه">'قوانین پایه'!$D$18</definedName>
    <definedName name="مرخصی_سالانه">'قوانین پایه'!$D$15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7" i="12" l="1"/>
  <c r="L8" i="13"/>
  <c r="N8" i="13" s="1"/>
  <c r="S8" i="13" s="1"/>
  <c r="L12" i="13"/>
  <c r="N12" i="13" s="1"/>
  <c r="S12" i="13" s="1"/>
  <c r="O12" i="13"/>
  <c r="M13" i="13" s="1"/>
  <c r="K14" i="13" s="1"/>
  <c r="M14" i="13" s="1"/>
  <c r="K15" i="13" s="1"/>
  <c r="K16" i="13" s="1"/>
  <c r="L16" i="13"/>
  <c r="N16" i="13" s="1"/>
  <c r="S16" i="13" s="1"/>
  <c r="F19" i="13"/>
  <c r="J19" i="13"/>
  <c r="R19" i="13"/>
  <c r="B7" i="12"/>
  <c r="F37" i="12" s="1"/>
  <c r="G37" i="12" s="1"/>
  <c r="J37" i="12" s="1"/>
  <c r="K37" i="12" s="1"/>
  <c r="N37" i="12" s="1"/>
  <c r="O37" i="12" s="1"/>
  <c r="B8" i="12"/>
  <c r="I37" i="12" s="1"/>
  <c r="M37" i="12" s="1"/>
  <c r="B9" i="12"/>
  <c r="Q9" i="12" s="1"/>
  <c r="B10" i="12"/>
  <c r="Q10" i="12" s="1"/>
  <c r="B11" i="12"/>
  <c r="Q11" i="12" s="1"/>
  <c r="B12" i="12"/>
  <c r="Q12" i="12" s="1"/>
  <c r="B13" i="12"/>
  <c r="Q13" i="12" s="1"/>
  <c r="B14" i="12"/>
  <c r="Q14" i="12" s="1"/>
  <c r="B15" i="12"/>
  <c r="Q15" i="12" s="1"/>
  <c r="B16" i="12"/>
  <c r="Q16" i="12" s="1"/>
  <c r="B17" i="12"/>
  <c r="Q17" i="12" s="1"/>
  <c r="B18" i="12"/>
  <c r="Q18" i="12" s="1"/>
  <c r="B19" i="12"/>
  <c r="Q19" i="12" s="1"/>
  <c r="B20" i="12"/>
  <c r="Q20" i="12" s="1"/>
  <c r="B21" i="12"/>
  <c r="Q21" i="12" s="1"/>
  <c r="B22" i="12"/>
  <c r="Q22" i="12" s="1"/>
  <c r="B23" i="12"/>
  <c r="Q23" i="12" s="1"/>
  <c r="B24" i="12"/>
  <c r="Q24" i="12" s="1"/>
  <c r="B25" i="12"/>
  <c r="Q25" i="12" s="1"/>
  <c r="B26" i="12"/>
  <c r="Q26" i="12" s="1"/>
  <c r="B27" i="12"/>
  <c r="Q27" i="12" s="1"/>
  <c r="B28" i="12"/>
  <c r="Q28" i="12" s="1"/>
  <c r="B29" i="12"/>
  <c r="Q29" i="12" s="1"/>
  <c r="B30" i="12"/>
  <c r="Q30" i="12" s="1"/>
  <c r="B31" i="12"/>
  <c r="Q31" i="12" s="1"/>
  <c r="B32" i="12"/>
  <c r="Q32" i="12" s="1"/>
  <c r="B33" i="12"/>
  <c r="Q33" i="12" s="1"/>
  <c r="B34" i="12"/>
  <c r="Q34" i="12" s="1"/>
  <c r="B35" i="12"/>
  <c r="Q35" i="12" s="1"/>
  <c r="B36" i="12"/>
  <c r="Q36" i="12" s="1"/>
  <c r="H37" i="12"/>
  <c r="L37" i="12"/>
  <c r="P37" i="12"/>
  <c r="S444" i="10"/>
  <c r="R444" i="10"/>
  <c r="L444" i="10"/>
  <c r="I444" i="10"/>
  <c r="G444" i="10"/>
  <c r="F444" i="10"/>
  <c r="N443" i="10"/>
  <c r="M443" i="10"/>
  <c r="K443" i="10"/>
  <c r="J443" i="10"/>
  <c r="H443" i="10"/>
  <c r="C443" i="10"/>
  <c r="N442" i="10"/>
  <c r="M442" i="10"/>
  <c r="K442" i="10"/>
  <c r="J442" i="10"/>
  <c r="H442" i="10"/>
  <c r="C442" i="10"/>
  <c r="N441" i="10"/>
  <c r="M441" i="10"/>
  <c r="K441" i="10"/>
  <c r="J441" i="10"/>
  <c r="H441" i="10"/>
  <c r="C441" i="10"/>
  <c r="N440" i="10"/>
  <c r="M440" i="10"/>
  <c r="K440" i="10"/>
  <c r="J440" i="10"/>
  <c r="H440" i="10"/>
  <c r="C440" i="10"/>
  <c r="N439" i="10"/>
  <c r="M439" i="10"/>
  <c r="K439" i="10"/>
  <c r="J439" i="10"/>
  <c r="H439" i="10"/>
  <c r="C439" i="10"/>
  <c r="N438" i="10"/>
  <c r="M438" i="10"/>
  <c r="K438" i="10"/>
  <c r="J438" i="10"/>
  <c r="H438" i="10"/>
  <c r="C438" i="10"/>
  <c r="N437" i="10"/>
  <c r="M437" i="10"/>
  <c r="K437" i="10"/>
  <c r="J437" i="10"/>
  <c r="H437" i="10"/>
  <c r="C437" i="10"/>
  <c r="N436" i="10"/>
  <c r="M436" i="10"/>
  <c r="K436" i="10"/>
  <c r="J436" i="10"/>
  <c r="H436" i="10"/>
  <c r="C436" i="10"/>
  <c r="N435" i="10"/>
  <c r="M435" i="10"/>
  <c r="K435" i="10"/>
  <c r="J435" i="10"/>
  <c r="H435" i="10"/>
  <c r="C435" i="10"/>
  <c r="N434" i="10"/>
  <c r="P434" i="10" s="1"/>
  <c r="T434" i="10" s="1"/>
  <c r="M434" i="10"/>
  <c r="K434" i="10"/>
  <c r="J434" i="10"/>
  <c r="H434" i="10"/>
  <c r="C434" i="10"/>
  <c r="N433" i="10"/>
  <c r="M433" i="10"/>
  <c r="K433" i="10"/>
  <c r="J433" i="10"/>
  <c r="H433" i="10"/>
  <c r="C433" i="10"/>
  <c r="N432" i="10"/>
  <c r="M432" i="10"/>
  <c r="K432" i="10"/>
  <c r="J432" i="10"/>
  <c r="H432" i="10"/>
  <c r="P432" i="10" s="1"/>
  <c r="T432" i="10" s="1"/>
  <c r="C432" i="10"/>
  <c r="N431" i="10"/>
  <c r="M431" i="10"/>
  <c r="K431" i="10"/>
  <c r="J431" i="10"/>
  <c r="H431" i="10"/>
  <c r="C431" i="10"/>
  <c r="N430" i="10"/>
  <c r="M430" i="10"/>
  <c r="K430" i="10"/>
  <c r="J430" i="10"/>
  <c r="H430" i="10"/>
  <c r="C430" i="10"/>
  <c r="N429" i="10"/>
  <c r="M429" i="10"/>
  <c r="K429" i="10"/>
  <c r="J429" i="10"/>
  <c r="H429" i="10"/>
  <c r="C429" i="10"/>
  <c r="N428" i="10"/>
  <c r="M428" i="10"/>
  <c r="K428" i="10"/>
  <c r="J428" i="10"/>
  <c r="H428" i="10"/>
  <c r="C428" i="10"/>
  <c r="N427" i="10"/>
  <c r="M427" i="10"/>
  <c r="K427" i="10"/>
  <c r="J427" i="10"/>
  <c r="H427" i="10"/>
  <c r="C427" i="10"/>
  <c r="N426" i="10"/>
  <c r="M426" i="10"/>
  <c r="K426" i="10"/>
  <c r="J426" i="10"/>
  <c r="H426" i="10"/>
  <c r="C426" i="10"/>
  <c r="N425" i="10"/>
  <c r="M425" i="10"/>
  <c r="K425" i="10"/>
  <c r="J425" i="10"/>
  <c r="H425" i="10"/>
  <c r="C425" i="10"/>
  <c r="N424" i="10"/>
  <c r="M424" i="10"/>
  <c r="K424" i="10"/>
  <c r="J424" i="10"/>
  <c r="H424" i="10"/>
  <c r="C424" i="10"/>
  <c r="N423" i="10"/>
  <c r="M423" i="10"/>
  <c r="K423" i="10"/>
  <c r="J423" i="10"/>
  <c r="H423" i="10"/>
  <c r="C423" i="10"/>
  <c r="N422" i="10"/>
  <c r="M422" i="10"/>
  <c r="K422" i="10"/>
  <c r="J422" i="10"/>
  <c r="H422" i="10"/>
  <c r="C422" i="10"/>
  <c r="N421" i="10"/>
  <c r="M421" i="10"/>
  <c r="K421" i="10"/>
  <c r="J421" i="10"/>
  <c r="H421" i="10"/>
  <c r="C421" i="10"/>
  <c r="N420" i="10"/>
  <c r="M420" i="10"/>
  <c r="K420" i="10"/>
  <c r="J420" i="10"/>
  <c r="H420" i="10"/>
  <c r="C420" i="10"/>
  <c r="N419" i="10"/>
  <c r="M419" i="10"/>
  <c r="K419" i="10"/>
  <c r="J419" i="10"/>
  <c r="H419" i="10"/>
  <c r="C419" i="10"/>
  <c r="N418" i="10"/>
  <c r="M418" i="10"/>
  <c r="K418" i="10"/>
  <c r="J418" i="10"/>
  <c r="H418" i="10"/>
  <c r="C418" i="10"/>
  <c r="N417" i="10"/>
  <c r="M417" i="10"/>
  <c r="K417" i="10"/>
  <c r="J417" i="10"/>
  <c r="H417" i="10"/>
  <c r="C417" i="10"/>
  <c r="N416" i="10"/>
  <c r="M416" i="10"/>
  <c r="K416" i="10"/>
  <c r="J416" i="10"/>
  <c r="H416" i="10"/>
  <c r="C416" i="10"/>
  <c r="N415" i="10"/>
  <c r="M415" i="10"/>
  <c r="K415" i="10"/>
  <c r="J415" i="10"/>
  <c r="H415" i="10"/>
  <c r="C415" i="10"/>
  <c r="N414" i="10"/>
  <c r="M414" i="10"/>
  <c r="K414" i="10"/>
  <c r="J414" i="10"/>
  <c r="J444" i="10" s="1"/>
  <c r="H414" i="10"/>
  <c r="C414" i="10"/>
  <c r="S407" i="10"/>
  <c r="R407" i="10"/>
  <c r="L407" i="10"/>
  <c r="I407" i="10"/>
  <c r="G407" i="10"/>
  <c r="F407" i="10"/>
  <c r="N406" i="10"/>
  <c r="M406" i="10"/>
  <c r="K406" i="10"/>
  <c r="J406" i="10"/>
  <c r="H406" i="10"/>
  <c r="C406" i="10"/>
  <c r="N405" i="10"/>
  <c r="M405" i="10"/>
  <c r="K405" i="10"/>
  <c r="J405" i="10"/>
  <c r="H405" i="10"/>
  <c r="C405" i="10"/>
  <c r="N404" i="10"/>
  <c r="M404" i="10"/>
  <c r="K404" i="10"/>
  <c r="J404" i="10"/>
  <c r="H404" i="10"/>
  <c r="C404" i="10"/>
  <c r="N403" i="10"/>
  <c r="M403" i="10"/>
  <c r="K403" i="10"/>
  <c r="J403" i="10"/>
  <c r="H403" i="10"/>
  <c r="C403" i="10"/>
  <c r="N402" i="10"/>
  <c r="M402" i="10"/>
  <c r="K402" i="10"/>
  <c r="J402" i="10"/>
  <c r="H402" i="10"/>
  <c r="C402" i="10"/>
  <c r="N401" i="10"/>
  <c r="M401" i="10"/>
  <c r="K401" i="10"/>
  <c r="J401" i="10"/>
  <c r="H401" i="10"/>
  <c r="C401" i="10"/>
  <c r="N400" i="10"/>
  <c r="M400" i="10"/>
  <c r="K400" i="10"/>
  <c r="J400" i="10"/>
  <c r="H400" i="10"/>
  <c r="C400" i="10"/>
  <c r="N399" i="10"/>
  <c r="M399" i="10"/>
  <c r="K399" i="10"/>
  <c r="J399" i="10"/>
  <c r="H399" i="10"/>
  <c r="C399" i="10"/>
  <c r="N398" i="10"/>
  <c r="M398" i="10"/>
  <c r="K398" i="10"/>
  <c r="J398" i="10"/>
  <c r="H398" i="10"/>
  <c r="C398" i="10"/>
  <c r="N397" i="10"/>
  <c r="M397" i="10"/>
  <c r="K397" i="10"/>
  <c r="J397" i="10"/>
  <c r="H397" i="10"/>
  <c r="C397" i="10"/>
  <c r="N396" i="10"/>
  <c r="M396" i="10"/>
  <c r="K396" i="10"/>
  <c r="J396" i="10"/>
  <c r="H396" i="10"/>
  <c r="C396" i="10"/>
  <c r="N395" i="10"/>
  <c r="M395" i="10"/>
  <c r="K395" i="10"/>
  <c r="J395" i="10"/>
  <c r="H395" i="10"/>
  <c r="C395" i="10"/>
  <c r="N394" i="10"/>
  <c r="M394" i="10"/>
  <c r="K394" i="10"/>
  <c r="J394" i="10"/>
  <c r="H394" i="10"/>
  <c r="C394" i="10"/>
  <c r="N393" i="10"/>
  <c r="M393" i="10"/>
  <c r="K393" i="10"/>
  <c r="J393" i="10"/>
  <c r="H393" i="10"/>
  <c r="C393" i="10"/>
  <c r="N392" i="10"/>
  <c r="M392" i="10"/>
  <c r="K392" i="10"/>
  <c r="J392" i="10"/>
  <c r="H392" i="10"/>
  <c r="C392" i="10"/>
  <c r="N391" i="10"/>
  <c r="M391" i="10"/>
  <c r="K391" i="10"/>
  <c r="J391" i="10"/>
  <c r="H391" i="10"/>
  <c r="C391" i="10"/>
  <c r="N390" i="10"/>
  <c r="M390" i="10"/>
  <c r="K390" i="10"/>
  <c r="J390" i="10"/>
  <c r="H390" i="10"/>
  <c r="C390" i="10"/>
  <c r="N389" i="10"/>
  <c r="M389" i="10"/>
  <c r="K389" i="10"/>
  <c r="J389" i="10"/>
  <c r="H389" i="10"/>
  <c r="C389" i="10"/>
  <c r="N388" i="10"/>
  <c r="M388" i="10"/>
  <c r="K388" i="10"/>
  <c r="J388" i="10"/>
  <c r="H388" i="10"/>
  <c r="C388" i="10"/>
  <c r="N387" i="10"/>
  <c r="M387" i="10"/>
  <c r="K387" i="10"/>
  <c r="J387" i="10"/>
  <c r="H387" i="10"/>
  <c r="C387" i="10"/>
  <c r="N386" i="10"/>
  <c r="M386" i="10"/>
  <c r="K386" i="10"/>
  <c r="J386" i="10"/>
  <c r="H386" i="10"/>
  <c r="C386" i="10"/>
  <c r="N385" i="10"/>
  <c r="M385" i="10"/>
  <c r="K385" i="10"/>
  <c r="J385" i="10"/>
  <c r="H385" i="10"/>
  <c r="C385" i="10"/>
  <c r="N384" i="10"/>
  <c r="M384" i="10"/>
  <c r="K384" i="10"/>
  <c r="J384" i="10"/>
  <c r="H384" i="10"/>
  <c r="C384" i="10"/>
  <c r="N383" i="10"/>
  <c r="M383" i="10"/>
  <c r="K383" i="10"/>
  <c r="J383" i="10"/>
  <c r="H383" i="10"/>
  <c r="C383" i="10"/>
  <c r="N382" i="10"/>
  <c r="M382" i="10"/>
  <c r="K382" i="10"/>
  <c r="J382" i="10"/>
  <c r="H382" i="10"/>
  <c r="C382" i="10"/>
  <c r="N381" i="10"/>
  <c r="M381" i="10"/>
  <c r="K381" i="10"/>
  <c r="J381" i="10"/>
  <c r="H381" i="10"/>
  <c r="C381" i="10"/>
  <c r="N380" i="10"/>
  <c r="M380" i="10"/>
  <c r="K380" i="10"/>
  <c r="J380" i="10"/>
  <c r="H380" i="10"/>
  <c r="C380" i="10"/>
  <c r="N379" i="10"/>
  <c r="M379" i="10"/>
  <c r="K379" i="10"/>
  <c r="J379" i="10"/>
  <c r="H379" i="10"/>
  <c r="C379" i="10"/>
  <c r="N378" i="10"/>
  <c r="M378" i="10"/>
  <c r="K378" i="10"/>
  <c r="J378" i="10"/>
  <c r="H378" i="10"/>
  <c r="C378" i="10"/>
  <c r="N377" i="10"/>
  <c r="M377" i="10"/>
  <c r="K377" i="10"/>
  <c r="J377" i="10"/>
  <c r="H377" i="10"/>
  <c r="C377" i="10"/>
  <c r="S370" i="10"/>
  <c r="R370" i="10"/>
  <c r="L370" i="10"/>
  <c r="I370" i="10"/>
  <c r="G370" i="10"/>
  <c r="F370" i="10"/>
  <c r="N369" i="10"/>
  <c r="M369" i="10"/>
  <c r="K369" i="10"/>
  <c r="J369" i="10"/>
  <c r="H369" i="10"/>
  <c r="C369" i="10"/>
  <c r="N368" i="10"/>
  <c r="M368" i="10"/>
  <c r="K368" i="10"/>
  <c r="J368" i="10"/>
  <c r="H368" i="10"/>
  <c r="C368" i="10"/>
  <c r="N367" i="10"/>
  <c r="M367" i="10"/>
  <c r="K367" i="10"/>
  <c r="J367" i="10"/>
  <c r="H367" i="10"/>
  <c r="C367" i="10"/>
  <c r="N366" i="10"/>
  <c r="M366" i="10"/>
  <c r="K366" i="10"/>
  <c r="J366" i="10"/>
  <c r="H366" i="10"/>
  <c r="C366" i="10"/>
  <c r="N365" i="10"/>
  <c r="M365" i="10"/>
  <c r="K365" i="10"/>
  <c r="J365" i="10"/>
  <c r="H365" i="10"/>
  <c r="C365" i="10"/>
  <c r="N364" i="10"/>
  <c r="M364" i="10"/>
  <c r="K364" i="10"/>
  <c r="J364" i="10"/>
  <c r="H364" i="10"/>
  <c r="C364" i="10"/>
  <c r="N363" i="10"/>
  <c r="M363" i="10"/>
  <c r="K363" i="10"/>
  <c r="J363" i="10"/>
  <c r="H363" i="10"/>
  <c r="C363" i="10"/>
  <c r="N362" i="10"/>
  <c r="M362" i="10"/>
  <c r="K362" i="10"/>
  <c r="J362" i="10"/>
  <c r="H362" i="10"/>
  <c r="C362" i="10"/>
  <c r="N361" i="10"/>
  <c r="M361" i="10"/>
  <c r="K361" i="10"/>
  <c r="J361" i="10"/>
  <c r="H361" i="10"/>
  <c r="C361" i="10"/>
  <c r="N360" i="10"/>
  <c r="M360" i="10"/>
  <c r="K360" i="10"/>
  <c r="J360" i="10"/>
  <c r="H360" i="10"/>
  <c r="C360" i="10"/>
  <c r="N359" i="10"/>
  <c r="M359" i="10"/>
  <c r="K359" i="10"/>
  <c r="J359" i="10"/>
  <c r="H359" i="10"/>
  <c r="C359" i="10"/>
  <c r="N358" i="10"/>
  <c r="M358" i="10"/>
  <c r="K358" i="10"/>
  <c r="J358" i="10"/>
  <c r="H358" i="10"/>
  <c r="C358" i="10"/>
  <c r="N357" i="10"/>
  <c r="M357" i="10"/>
  <c r="K357" i="10"/>
  <c r="J357" i="10"/>
  <c r="H357" i="10"/>
  <c r="C357" i="10"/>
  <c r="N356" i="10"/>
  <c r="M356" i="10"/>
  <c r="K356" i="10"/>
  <c r="J356" i="10"/>
  <c r="H356" i="10"/>
  <c r="C356" i="10"/>
  <c r="N355" i="10"/>
  <c r="M355" i="10"/>
  <c r="K355" i="10"/>
  <c r="J355" i="10"/>
  <c r="H355" i="10"/>
  <c r="C355" i="10"/>
  <c r="N354" i="10"/>
  <c r="M354" i="10"/>
  <c r="K354" i="10"/>
  <c r="J354" i="10"/>
  <c r="H354" i="10"/>
  <c r="C354" i="10"/>
  <c r="N353" i="10"/>
  <c r="M353" i="10"/>
  <c r="K353" i="10"/>
  <c r="J353" i="10"/>
  <c r="H353" i="10"/>
  <c r="C353" i="10"/>
  <c r="N352" i="10"/>
  <c r="M352" i="10"/>
  <c r="K352" i="10"/>
  <c r="J352" i="10"/>
  <c r="H352" i="10"/>
  <c r="C352" i="10"/>
  <c r="N351" i="10"/>
  <c r="M351" i="10"/>
  <c r="K351" i="10"/>
  <c r="J351" i="10"/>
  <c r="H351" i="10"/>
  <c r="C351" i="10"/>
  <c r="N350" i="10"/>
  <c r="M350" i="10"/>
  <c r="K350" i="10"/>
  <c r="J350" i="10"/>
  <c r="H350" i="10"/>
  <c r="C350" i="10"/>
  <c r="N349" i="10"/>
  <c r="M349" i="10"/>
  <c r="K349" i="10"/>
  <c r="J349" i="10"/>
  <c r="H349" i="10"/>
  <c r="C349" i="10"/>
  <c r="N348" i="10"/>
  <c r="M348" i="10"/>
  <c r="K348" i="10"/>
  <c r="J348" i="10"/>
  <c r="H348" i="10"/>
  <c r="C348" i="10"/>
  <c r="N347" i="10"/>
  <c r="M347" i="10"/>
  <c r="K347" i="10"/>
  <c r="J347" i="10"/>
  <c r="H347" i="10"/>
  <c r="C347" i="10"/>
  <c r="N346" i="10"/>
  <c r="M346" i="10"/>
  <c r="K346" i="10"/>
  <c r="J346" i="10"/>
  <c r="H346" i="10"/>
  <c r="C346" i="10"/>
  <c r="N345" i="10"/>
  <c r="M345" i="10"/>
  <c r="K345" i="10"/>
  <c r="J345" i="10"/>
  <c r="H345" i="10"/>
  <c r="C345" i="10"/>
  <c r="N344" i="10"/>
  <c r="M344" i="10"/>
  <c r="K344" i="10"/>
  <c r="J344" i="10"/>
  <c r="H344" i="10"/>
  <c r="C344" i="10"/>
  <c r="N343" i="10"/>
  <c r="M343" i="10"/>
  <c r="K343" i="10"/>
  <c r="J343" i="10"/>
  <c r="H343" i="10"/>
  <c r="C343" i="10"/>
  <c r="N342" i="10"/>
  <c r="M342" i="10"/>
  <c r="K342" i="10"/>
  <c r="J342" i="10"/>
  <c r="H342" i="10"/>
  <c r="C342" i="10"/>
  <c r="N341" i="10"/>
  <c r="M341" i="10"/>
  <c r="K341" i="10"/>
  <c r="J341" i="10"/>
  <c r="H341" i="10"/>
  <c r="C341" i="10"/>
  <c r="N340" i="10"/>
  <c r="M340" i="10"/>
  <c r="K340" i="10"/>
  <c r="J340" i="10"/>
  <c r="H340" i="10"/>
  <c r="C340" i="10"/>
  <c r="S333" i="10"/>
  <c r="R333" i="10"/>
  <c r="L333" i="10"/>
  <c r="I333" i="10"/>
  <c r="G333" i="10"/>
  <c r="F333" i="10"/>
  <c r="N332" i="10"/>
  <c r="M332" i="10"/>
  <c r="K332" i="10"/>
  <c r="J332" i="10"/>
  <c r="H332" i="10"/>
  <c r="C332" i="10"/>
  <c r="N331" i="10"/>
  <c r="M331" i="10"/>
  <c r="K331" i="10"/>
  <c r="J331" i="10"/>
  <c r="H331" i="10"/>
  <c r="C331" i="10"/>
  <c r="N330" i="10"/>
  <c r="M330" i="10"/>
  <c r="K330" i="10"/>
  <c r="J330" i="10"/>
  <c r="H330" i="10"/>
  <c r="C330" i="10"/>
  <c r="N329" i="10"/>
  <c r="M329" i="10"/>
  <c r="K329" i="10"/>
  <c r="J329" i="10"/>
  <c r="H329" i="10"/>
  <c r="C329" i="10"/>
  <c r="N328" i="10"/>
  <c r="M328" i="10"/>
  <c r="K328" i="10"/>
  <c r="J328" i="10"/>
  <c r="H328" i="10"/>
  <c r="C328" i="10"/>
  <c r="N327" i="10"/>
  <c r="M327" i="10"/>
  <c r="K327" i="10"/>
  <c r="J327" i="10"/>
  <c r="H327" i="10"/>
  <c r="C327" i="10"/>
  <c r="N326" i="10"/>
  <c r="M326" i="10"/>
  <c r="K326" i="10"/>
  <c r="J326" i="10"/>
  <c r="H326" i="10"/>
  <c r="C326" i="10"/>
  <c r="N325" i="10"/>
  <c r="M325" i="10"/>
  <c r="K325" i="10"/>
  <c r="J325" i="10"/>
  <c r="H325" i="10"/>
  <c r="C325" i="10"/>
  <c r="N324" i="10"/>
  <c r="M324" i="10"/>
  <c r="K324" i="10"/>
  <c r="J324" i="10"/>
  <c r="H324" i="10"/>
  <c r="C324" i="10"/>
  <c r="N323" i="10"/>
  <c r="M323" i="10"/>
  <c r="K323" i="10"/>
  <c r="J323" i="10"/>
  <c r="H323" i="10"/>
  <c r="C323" i="10"/>
  <c r="N322" i="10"/>
  <c r="M322" i="10"/>
  <c r="K322" i="10"/>
  <c r="J322" i="10"/>
  <c r="H322" i="10"/>
  <c r="C322" i="10"/>
  <c r="N321" i="10"/>
  <c r="M321" i="10"/>
  <c r="K321" i="10"/>
  <c r="J321" i="10"/>
  <c r="H321" i="10"/>
  <c r="C321" i="10"/>
  <c r="N320" i="10"/>
  <c r="M320" i="10"/>
  <c r="K320" i="10"/>
  <c r="J320" i="10"/>
  <c r="H320" i="10"/>
  <c r="C320" i="10"/>
  <c r="N319" i="10"/>
  <c r="M319" i="10"/>
  <c r="K319" i="10"/>
  <c r="J319" i="10"/>
  <c r="H319" i="10"/>
  <c r="C319" i="10"/>
  <c r="N318" i="10"/>
  <c r="M318" i="10"/>
  <c r="K318" i="10"/>
  <c r="J318" i="10"/>
  <c r="H318" i="10"/>
  <c r="C318" i="10"/>
  <c r="N317" i="10"/>
  <c r="M317" i="10"/>
  <c r="K317" i="10"/>
  <c r="J317" i="10"/>
  <c r="H317" i="10"/>
  <c r="C317" i="10"/>
  <c r="N316" i="10"/>
  <c r="M316" i="10"/>
  <c r="K316" i="10"/>
  <c r="J316" i="10"/>
  <c r="H316" i="10"/>
  <c r="C316" i="10"/>
  <c r="N315" i="10"/>
  <c r="M315" i="10"/>
  <c r="K315" i="10"/>
  <c r="J315" i="10"/>
  <c r="H315" i="10"/>
  <c r="C315" i="10"/>
  <c r="N314" i="10"/>
  <c r="M314" i="10"/>
  <c r="K314" i="10"/>
  <c r="J314" i="10"/>
  <c r="H314" i="10"/>
  <c r="C314" i="10"/>
  <c r="N313" i="10"/>
  <c r="M313" i="10"/>
  <c r="K313" i="10"/>
  <c r="J313" i="10"/>
  <c r="H313" i="10"/>
  <c r="C313" i="10"/>
  <c r="N312" i="10"/>
  <c r="M312" i="10"/>
  <c r="K312" i="10"/>
  <c r="J312" i="10"/>
  <c r="H312" i="10"/>
  <c r="C312" i="10"/>
  <c r="N311" i="10"/>
  <c r="M311" i="10"/>
  <c r="K311" i="10"/>
  <c r="J311" i="10"/>
  <c r="H311" i="10"/>
  <c r="C311" i="10"/>
  <c r="N310" i="10"/>
  <c r="M310" i="10"/>
  <c r="K310" i="10"/>
  <c r="J310" i="10"/>
  <c r="H310" i="10"/>
  <c r="C310" i="10"/>
  <c r="N309" i="10"/>
  <c r="M309" i="10"/>
  <c r="K309" i="10"/>
  <c r="J309" i="10"/>
  <c r="H309" i="10"/>
  <c r="C309" i="10"/>
  <c r="N308" i="10"/>
  <c r="M308" i="10"/>
  <c r="K308" i="10"/>
  <c r="J308" i="10"/>
  <c r="H308" i="10"/>
  <c r="C308" i="10"/>
  <c r="N307" i="10"/>
  <c r="M307" i="10"/>
  <c r="K307" i="10"/>
  <c r="J307" i="10"/>
  <c r="H307" i="10"/>
  <c r="C307" i="10"/>
  <c r="N306" i="10"/>
  <c r="M306" i="10"/>
  <c r="K306" i="10"/>
  <c r="J306" i="10"/>
  <c r="H306" i="10"/>
  <c r="C306" i="10"/>
  <c r="N305" i="10"/>
  <c r="M305" i="10"/>
  <c r="K305" i="10"/>
  <c r="J305" i="10"/>
  <c r="H305" i="10"/>
  <c r="C305" i="10"/>
  <c r="N304" i="10"/>
  <c r="M304" i="10"/>
  <c r="K304" i="10"/>
  <c r="J304" i="10"/>
  <c r="H304" i="10"/>
  <c r="C304" i="10"/>
  <c r="N303" i="10"/>
  <c r="M303" i="10"/>
  <c r="K303" i="10"/>
  <c r="J303" i="10"/>
  <c r="J333" i="10" s="1"/>
  <c r="H303" i="10"/>
  <c r="C303" i="10"/>
  <c r="S296" i="10"/>
  <c r="R296" i="10"/>
  <c r="L296" i="10"/>
  <c r="I296" i="10"/>
  <c r="G296" i="10"/>
  <c r="F296" i="10"/>
  <c r="N295" i="10"/>
  <c r="M295" i="10"/>
  <c r="K295" i="10"/>
  <c r="J295" i="10"/>
  <c r="H295" i="10"/>
  <c r="C295" i="10"/>
  <c r="N294" i="10"/>
  <c r="M294" i="10"/>
  <c r="K294" i="10"/>
  <c r="J294" i="10"/>
  <c r="H294" i="10"/>
  <c r="C294" i="10"/>
  <c r="N293" i="10"/>
  <c r="M293" i="10"/>
  <c r="K293" i="10"/>
  <c r="J293" i="10"/>
  <c r="H293" i="10"/>
  <c r="C293" i="10"/>
  <c r="N292" i="10"/>
  <c r="M292" i="10"/>
  <c r="K292" i="10"/>
  <c r="J292" i="10"/>
  <c r="H292" i="10"/>
  <c r="C292" i="10"/>
  <c r="N291" i="10"/>
  <c r="M291" i="10"/>
  <c r="K291" i="10"/>
  <c r="J291" i="10"/>
  <c r="H291" i="10"/>
  <c r="C291" i="10"/>
  <c r="N290" i="10"/>
  <c r="M290" i="10"/>
  <c r="K290" i="10"/>
  <c r="J290" i="10"/>
  <c r="H290" i="10"/>
  <c r="C290" i="10"/>
  <c r="N289" i="10"/>
  <c r="M289" i="10"/>
  <c r="K289" i="10"/>
  <c r="J289" i="10"/>
  <c r="H289" i="10"/>
  <c r="C289" i="10"/>
  <c r="N288" i="10"/>
  <c r="M288" i="10"/>
  <c r="K288" i="10"/>
  <c r="J288" i="10"/>
  <c r="H288" i="10"/>
  <c r="C288" i="10"/>
  <c r="N287" i="10"/>
  <c r="M287" i="10"/>
  <c r="K287" i="10"/>
  <c r="J287" i="10"/>
  <c r="H287" i="10"/>
  <c r="C287" i="10"/>
  <c r="N286" i="10"/>
  <c r="M286" i="10"/>
  <c r="K286" i="10"/>
  <c r="J286" i="10"/>
  <c r="H286" i="10"/>
  <c r="C286" i="10"/>
  <c r="N285" i="10"/>
  <c r="M285" i="10"/>
  <c r="K285" i="10"/>
  <c r="J285" i="10"/>
  <c r="H285" i="10"/>
  <c r="C285" i="10"/>
  <c r="N284" i="10"/>
  <c r="M284" i="10"/>
  <c r="K284" i="10"/>
  <c r="J284" i="10"/>
  <c r="H284" i="10"/>
  <c r="C284" i="10"/>
  <c r="N283" i="10"/>
  <c r="M283" i="10"/>
  <c r="K283" i="10"/>
  <c r="J283" i="10"/>
  <c r="H283" i="10"/>
  <c r="C283" i="10"/>
  <c r="N282" i="10"/>
  <c r="M282" i="10"/>
  <c r="K282" i="10"/>
  <c r="J282" i="10"/>
  <c r="H282" i="10"/>
  <c r="C282" i="10"/>
  <c r="N281" i="10"/>
  <c r="M281" i="10"/>
  <c r="K281" i="10"/>
  <c r="J281" i="10"/>
  <c r="H281" i="10"/>
  <c r="C281" i="10"/>
  <c r="N280" i="10"/>
  <c r="M280" i="10"/>
  <c r="K280" i="10"/>
  <c r="J280" i="10"/>
  <c r="H280" i="10"/>
  <c r="C280" i="10"/>
  <c r="N279" i="10"/>
  <c r="M279" i="10"/>
  <c r="K279" i="10"/>
  <c r="J279" i="10"/>
  <c r="H279" i="10"/>
  <c r="C279" i="10"/>
  <c r="N278" i="10"/>
  <c r="M278" i="10"/>
  <c r="K278" i="10"/>
  <c r="J278" i="10"/>
  <c r="H278" i="10"/>
  <c r="C278" i="10"/>
  <c r="N277" i="10"/>
  <c r="M277" i="10"/>
  <c r="K277" i="10"/>
  <c r="J277" i="10"/>
  <c r="H277" i="10"/>
  <c r="C277" i="10"/>
  <c r="N276" i="10"/>
  <c r="M276" i="10"/>
  <c r="K276" i="10"/>
  <c r="J276" i="10"/>
  <c r="H276" i="10"/>
  <c r="C276" i="10"/>
  <c r="N275" i="10"/>
  <c r="M275" i="10"/>
  <c r="K275" i="10"/>
  <c r="J275" i="10"/>
  <c r="H275" i="10"/>
  <c r="C275" i="10"/>
  <c r="N274" i="10"/>
  <c r="M274" i="10"/>
  <c r="K274" i="10"/>
  <c r="J274" i="10"/>
  <c r="H274" i="10"/>
  <c r="C274" i="10"/>
  <c r="N273" i="10"/>
  <c r="M273" i="10"/>
  <c r="K273" i="10"/>
  <c r="J273" i="10"/>
  <c r="H273" i="10"/>
  <c r="C273" i="10"/>
  <c r="N272" i="10"/>
  <c r="M272" i="10"/>
  <c r="K272" i="10"/>
  <c r="J272" i="10"/>
  <c r="H272" i="10"/>
  <c r="C272" i="10"/>
  <c r="N271" i="10"/>
  <c r="M271" i="10"/>
  <c r="K271" i="10"/>
  <c r="J271" i="10"/>
  <c r="H271" i="10"/>
  <c r="C271" i="10"/>
  <c r="N270" i="10"/>
  <c r="M270" i="10"/>
  <c r="K270" i="10"/>
  <c r="J270" i="10"/>
  <c r="H270" i="10"/>
  <c r="C270" i="10"/>
  <c r="N269" i="10"/>
  <c r="M269" i="10"/>
  <c r="K269" i="10"/>
  <c r="J269" i="10"/>
  <c r="H269" i="10"/>
  <c r="C269" i="10"/>
  <c r="N268" i="10"/>
  <c r="M268" i="10"/>
  <c r="K268" i="10"/>
  <c r="J268" i="10"/>
  <c r="H268" i="10"/>
  <c r="C268" i="10"/>
  <c r="N267" i="10"/>
  <c r="M267" i="10"/>
  <c r="K267" i="10"/>
  <c r="J267" i="10"/>
  <c r="H267" i="10"/>
  <c r="C267" i="10"/>
  <c r="N266" i="10"/>
  <c r="M266" i="10"/>
  <c r="K266" i="10"/>
  <c r="J266" i="10"/>
  <c r="H266" i="10"/>
  <c r="C266" i="10"/>
  <c r="S259" i="10"/>
  <c r="R259" i="10"/>
  <c r="L259" i="10"/>
  <c r="I259" i="10"/>
  <c r="G259" i="10"/>
  <c r="F259" i="10"/>
  <c r="N258" i="10"/>
  <c r="M258" i="10"/>
  <c r="K258" i="10"/>
  <c r="J258" i="10"/>
  <c r="H258" i="10"/>
  <c r="C258" i="10"/>
  <c r="N257" i="10"/>
  <c r="M257" i="10"/>
  <c r="K257" i="10"/>
  <c r="J257" i="10"/>
  <c r="H257" i="10"/>
  <c r="C257" i="10"/>
  <c r="N256" i="10"/>
  <c r="M256" i="10"/>
  <c r="K256" i="10"/>
  <c r="J256" i="10"/>
  <c r="H256" i="10"/>
  <c r="C256" i="10"/>
  <c r="N255" i="10"/>
  <c r="M255" i="10"/>
  <c r="K255" i="10"/>
  <c r="J255" i="10"/>
  <c r="H255" i="10"/>
  <c r="C255" i="10"/>
  <c r="N254" i="10"/>
  <c r="M254" i="10"/>
  <c r="K254" i="10"/>
  <c r="J254" i="10"/>
  <c r="H254" i="10"/>
  <c r="C254" i="10"/>
  <c r="N253" i="10"/>
  <c r="M253" i="10"/>
  <c r="K253" i="10"/>
  <c r="J253" i="10"/>
  <c r="H253" i="10"/>
  <c r="C253" i="10"/>
  <c r="N252" i="10"/>
  <c r="M252" i="10"/>
  <c r="K252" i="10"/>
  <c r="J252" i="10"/>
  <c r="H252" i="10"/>
  <c r="C252" i="10"/>
  <c r="N251" i="10"/>
  <c r="M251" i="10"/>
  <c r="K251" i="10"/>
  <c r="J251" i="10"/>
  <c r="H251" i="10"/>
  <c r="C251" i="10"/>
  <c r="N250" i="10"/>
  <c r="M250" i="10"/>
  <c r="K250" i="10"/>
  <c r="J250" i="10"/>
  <c r="H250" i="10"/>
  <c r="C250" i="10"/>
  <c r="N249" i="10"/>
  <c r="M249" i="10"/>
  <c r="K249" i="10"/>
  <c r="J249" i="10"/>
  <c r="H249" i="10"/>
  <c r="C249" i="10"/>
  <c r="N248" i="10"/>
  <c r="M248" i="10"/>
  <c r="K248" i="10"/>
  <c r="J248" i="10"/>
  <c r="H248" i="10"/>
  <c r="C248" i="10"/>
  <c r="N247" i="10"/>
  <c r="M247" i="10"/>
  <c r="K247" i="10"/>
  <c r="J247" i="10"/>
  <c r="H247" i="10"/>
  <c r="C247" i="10"/>
  <c r="N246" i="10"/>
  <c r="M246" i="10"/>
  <c r="K246" i="10"/>
  <c r="J246" i="10"/>
  <c r="H246" i="10"/>
  <c r="C246" i="10"/>
  <c r="N245" i="10"/>
  <c r="M245" i="10"/>
  <c r="K245" i="10"/>
  <c r="J245" i="10"/>
  <c r="H245" i="10"/>
  <c r="C245" i="10"/>
  <c r="N244" i="10"/>
  <c r="M244" i="10"/>
  <c r="K244" i="10"/>
  <c r="J244" i="10"/>
  <c r="H244" i="10"/>
  <c r="C244" i="10"/>
  <c r="N243" i="10"/>
  <c r="M243" i="10"/>
  <c r="K243" i="10"/>
  <c r="J243" i="10"/>
  <c r="H243" i="10"/>
  <c r="C243" i="10"/>
  <c r="N242" i="10"/>
  <c r="M242" i="10"/>
  <c r="K242" i="10"/>
  <c r="J242" i="10"/>
  <c r="H242" i="10"/>
  <c r="C242" i="10"/>
  <c r="N241" i="10"/>
  <c r="M241" i="10"/>
  <c r="K241" i="10"/>
  <c r="J241" i="10"/>
  <c r="H241" i="10"/>
  <c r="C241" i="10"/>
  <c r="N240" i="10"/>
  <c r="M240" i="10"/>
  <c r="K240" i="10"/>
  <c r="J240" i="10"/>
  <c r="H240" i="10"/>
  <c r="C240" i="10"/>
  <c r="N239" i="10"/>
  <c r="M239" i="10"/>
  <c r="K239" i="10"/>
  <c r="J239" i="10"/>
  <c r="H239" i="10"/>
  <c r="C239" i="10"/>
  <c r="N238" i="10"/>
  <c r="M238" i="10"/>
  <c r="K238" i="10"/>
  <c r="J238" i="10"/>
  <c r="H238" i="10"/>
  <c r="C238" i="10"/>
  <c r="N237" i="10"/>
  <c r="M237" i="10"/>
  <c r="K237" i="10"/>
  <c r="J237" i="10"/>
  <c r="H237" i="10"/>
  <c r="C237" i="10"/>
  <c r="N236" i="10"/>
  <c r="M236" i="10"/>
  <c r="K236" i="10"/>
  <c r="J236" i="10"/>
  <c r="H236" i="10"/>
  <c r="C236" i="10"/>
  <c r="N235" i="10"/>
  <c r="M235" i="10"/>
  <c r="K235" i="10"/>
  <c r="J235" i="10"/>
  <c r="H235" i="10"/>
  <c r="C235" i="10"/>
  <c r="N234" i="10"/>
  <c r="M234" i="10"/>
  <c r="K234" i="10"/>
  <c r="J234" i="10"/>
  <c r="H234" i="10"/>
  <c r="C234" i="10"/>
  <c r="N233" i="10"/>
  <c r="M233" i="10"/>
  <c r="K233" i="10"/>
  <c r="J233" i="10"/>
  <c r="H233" i="10"/>
  <c r="C233" i="10"/>
  <c r="N232" i="10"/>
  <c r="M232" i="10"/>
  <c r="K232" i="10"/>
  <c r="J232" i="10"/>
  <c r="H232" i="10"/>
  <c r="C232" i="10"/>
  <c r="N231" i="10"/>
  <c r="M231" i="10"/>
  <c r="K231" i="10"/>
  <c r="J231" i="10"/>
  <c r="H231" i="10"/>
  <c r="C231" i="10"/>
  <c r="N230" i="10"/>
  <c r="M230" i="10"/>
  <c r="K230" i="10"/>
  <c r="J230" i="10"/>
  <c r="H230" i="10"/>
  <c r="C230" i="10"/>
  <c r="N229" i="10"/>
  <c r="M229" i="10"/>
  <c r="K229" i="10"/>
  <c r="J229" i="10"/>
  <c r="J259" i="10" s="1"/>
  <c r="H229" i="10"/>
  <c r="C229" i="10"/>
  <c r="S222" i="10"/>
  <c r="R222" i="10"/>
  <c r="L222" i="10"/>
  <c r="I222" i="10"/>
  <c r="G222" i="10"/>
  <c r="F222" i="10"/>
  <c r="N221" i="10"/>
  <c r="M221" i="10"/>
  <c r="K221" i="10"/>
  <c r="J221" i="10"/>
  <c r="H221" i="10"/>
  <c r="C221" i="10"/>
  <c r="N220" i="10"/>
  <c r="M220" i="10"/>
  <c r="K220" i="10"/>
  <c r="J220" i="10"/>
  <c r="H220" i="10"/>
  <c r="C220" i="10"/>
  <c r="N219" i="10"/>
  <c r="M219" i="10"/>
  <c r="K219" i="10"/>
  <c r="J219" i="10"/>
  <c r="H219" i="10"/>
  <c r="C219" i="10"/>
  <c r="N218" i="10"/>
  <c r="M218" i="10"/>
  <c r="K218" i="10"/>
  <c r="J218" i="10"/>
  <c r="H218" i="10"/>
  <c r="C218" i="10"/>
  <c r="N217" i="10"/>
  <c r="M217" i="10"/>
  <c r="K217" i="10"/>
  <c r="J217" i="10"/>
  <c r="H217" i="10"/>
  <c r="C217" i="10"/>
  <c r="N216" i="10"/>
  <c r="M216" i="10"/>
  <c r="K216" i="10"/>
  <c r="J216" i="10"/>
  <c r="H216" i="10"/>
  <c r="C216" i="10"/>
  <c r="N215" i="10"/>
  <c r="M215" i="10"/>
  <c r="K215" i="10"/>
  <c r="J215" i="10"/>
  <c r="H215" i="10"/>
  <c r="C215" i="10"/>
  <c r="N214" i="10"/>
  <c r="M214" i="10"/>
  <c r="K214" i="10"/>
  <c r="J214" i="10"/>
  <c r="H214" i="10"/>
  <c r="C214" i="10"/>
  <c r="N213" i="10"/>
  <c r="M213" i="10"/>
  <c r="K213" i="10"/>
  <c r="J213" i="10"/>
  <c r="H213" i="10"/>
  <c r="C213" i="10"/>
  <c r="N212" i="10"/>
  <c r="M212" i="10"/>
  <c r="K212" i="10"/>
  <c r="J212" i="10"/>
  <c r="H212" i="10"/>
  <c r="C212" i="10"/>
  <c r="N211" i="10"/>
  <c r="M211" i="10"/>
  <c r="K211" i="10"/>
  <c r="J211" i="10"/>
  <c r="H211" i="10"/>
  <c r="C211" i="10"/>
  <c r="N210" i="10"/>
  <c r="M210" i="10"/>
  <c r="K210" i="10"/>
  <c r="J210" i="10"/>
  <c r="H210" i="10"/>
  <c r="C210" i="10"/>
  <c r="N209" i="10"/>
  <c r="M209" i="10"/>
  <c r="K209" i="10"/>
  <c r="J209" i="10"/>
  <c r="H209" i="10"/>
  <c r="C209" i="10"/>
  <c r="N208" i="10"/>
  <c r="M208" i="10"/>
  <c r="K208" i="10"/>
  <c r="J208" i="10"/>
  <c r="H208" i="10"/>
  <c r="C208" i="10"/>
  <c r="N207" i="10"/>
  <c r="M207" i="10"/>
  <c r="K207" i="10"/>
  <c r="J207" i="10"/>
  <c r="H207" i="10"/>
  <c r="C207" i="10"/>
  <c r="N206" i="10"/>
  <c r="M206" i="10"/>
  <c r="K206" i="10"/>
  <c r="J206" i="10"/>
  <c r="H206" i="10"/>
  <c r="C206" i="10"/>
  <c r="N205" i="10"/>
  <c r="M205" i="10"/>
  <c r="K205" i="10"/>
  <c r="J205" i="10"/>
  <c r="H205" i="10"/>
  <c r="C205" i="10"/>
  <c r="N204" i="10"/>
  <c r="M204" i="10"/>
  <c r="K204" i="10"/>
  <c r="J204" i="10"/>
  <c r="H204" i="10"/>
  <c r="C204" i="10"/>
  <c r="N203" i="10"/>
  <c r="M203" i="10"/>
  <c r="K203" i="10"/>
  <c r="J203" i="10"/>
  <c r="H203" i="10"/>
  <c r="C203" i="10"/>
  <c r="N202" i="10"/>
  <c r="M202" i="10"/>
  <c r="K202" i="10"/>
  <c r="J202" i="10"/>
  <c r="H202" i="10"/>
  <c r="C202" i="10"/>
  <c r="N201" i="10"/>
  <c r="M201" i="10"/>
  <c r="K201" i="10"/>
  <c r="J201" i="10"/>
  <c r="H201" i="10"/>
  <c r="C201" i="10"/>
  <c r="N200" i="10"/>
  <c r="M200" i="10"/>
  <c r="K200" i="10"/>
  <c r="J200" i="10"/>
  <c r="H200" i="10"/>
  <c r="C200" i="10"/>
  <c r="N199" i="10"/>
  <c r="M199" i="10"/>
  <c r="K199" i="10"/>
  <c r="J199" i="10"/>
  <c r="H199" i="10"/>
  <c r="C199" i="10"/>
  <c r="N198" i="10"/>
  <c r="M198" i="10"/>
  <c r="K198" i="10"/>
  <c r="J198" i="10"/>
  <c r="H198" i="10"/>
  <c r="C198" i="10"/>
  <c r="N197" i="10"/>
  <c r="M197" i="10"/>
  <c r="K197" i="10"/>
  <c r="J197" i="10"/>
  <c r="H197" i="10"/>
  <c r="C197" i="10"/>
  <c r="N196" i="10"/>
  <c r="M196" i="10"/>
  <c r="K196" i="10"/>
  <c r="J196" i="10"/>
  <c r="H196" i="10"/>
  <c r="C196" i="10"/>
  <c r="N195" i="10"/>
  <c r="M195" i="10"/>
  <c r="K195" i="10"/>
  <c r="J195" i="10"/>
  <c r="H195" i="10"/>
  <c r="C195" i="10"/>
  <c r="N194" i="10"/>
  <c r="M194" i="10"/>
  <c r="K194" i="10"/>
  <c r="J194" i="10"/>
  <c r="H194" i="10"/>
  <c r="C194" i="10"/>
  <c r="N193" i="10"/>
  <c r="M193" i="10"/>
  <c r="K193" i="10"/>
  <c r="J193" i="10"/>
  <c r="H193" i="10"/>
  <c r="C193" i="10"/>
  <c r="N192" i="10"/>
  <c r="M192" i="10"/>
  <c r="K192" i="10"/>
  <c r="J192" i="10"/>
  <c r="J222" i="10" s="1"/>
  <c r="H192" i="10"/>
  <c r="C192" i="10"/>
  <c r="S185" i="10"/>
  <c r="R185" i="10"/>
  <c r="L185" i="10"/>
  <c r="I185" i="10"/>
  <c r="G185" i="10"/>
  <c r="F185" i="10"/>
  <c r="N184" i="10"/>
  <c r="M184" i="10"/>
  <c r="K184" i="10"/>
  <c r="J184" i="10"/>
  <c r="H184" i="10"/>
  <c r="C184" i="10"/>
  <c r="N183" i="10"/>
  <c r="M183" i="10"/>
  <c r="K183" i="10"/>
  <c r="J183" i="10"/>
  <c r="H183" i="10"/>
  <c r="C183" i="10"/>
  <c r="N182" i="10"/>
  <c r="M182" i="10"/>
  <c r="K182" i="10"/>
  <c r="J182" i="10"/>
  <c r="H182" i="10"/>
  <c r="C182" i="10"/>
  <c r="N181" i="10"/>
  <c r="M181" i="10"/>
  <c r="K181" i="10"/>
  <c r="J181" i="10"/>
  <c r="H181" i="10"/>
  <c r="C181" i="10"/>
  <c r="N180" i="10"/>
  <c r="M180" i="10"/>
  <c r="K180" i="10"/>
  <c r="J180" i="10"/>
  <c r="H180" i="10"/>
  <c r="C180" i="10"/>
  <c r="N179" i="10"/>
  <c r="M179" i="10"/>
  <c r="K179" i="10"/>
  <c r="J179" i="10"/>
  <c r="H179" i="10"/>
  <c r="C179" i="10"/>
  <c r="N178" i="10"/>
  <c r="M178" i="10"/>
  <c r="K178" i="10"/>
  <c r="J178" i="10"/>
  <c r="H178" i="10"/>
  <c r="C178" i="10"/>
  <c r="N177" i="10"/>
  <c r="M177" i="10"/>
  <c r="K177" i="10"/>
  <c r="J177" i="10"/>
  <c r="H177" i="10"/>
  <c r="C177" i="10"/>
  <c r="N176" i="10"/>
  <c r="M176" i="10"/>
  <c r="K176" i="10"/>
  <c r="J176" i="10"/>
  <c r="H176" i="10"/>
  <c r="C176" i="10"/>
  <c r="N175" i="10"/>
  <c r="M175" i="10"/>
  <c r="K175" i="10"/>
  <c r="J175" i="10"/>
  <c r="H175" i="10"/>
  <c r="C175" i="10"/>
  <c r="N174" i="10"/>
  <c r="M174" i="10"/>
  <c r="K174" i="10"/>
  <c r="J174" i="10"/>
  <c r="H174" i="10"/>
  <c r="C174" i="10"/>
  <c r="N173" i="10"/>
  <c r="M173" i="10"/>
  <c r="K173" i="10"/>
  <c r="J173" i="10"/>
  <c r="H173" i="10"/>
  <c r="C173" i="10"/>
  <c r="N172" i="10"/>
  <c r="M172" i="10"/>
  <c r="K172" i="10"/>
  <c r="J172" i="10"/>
  <c r="H172" i="10"/>
  <c r="C172" i="10"/>
  <c r="N171" i="10"/>
  <c r="M171" i="10"/>
  <c r="K171" i="10"/>
  <c r="J171" i="10"/>
  <c r="H171" i="10"/>
  <c r="C171" i="10"/>
  <c r="N170" i="10"/>
  <c r="M170" i="10"/>
  <c r="K170" i="10"/>
  <c r="J170" i="10"/>
  <c r="H170" i="10"/>
  <c r="C170" i="10"/>
  <c r="N169" i="10"/>
  <c r="M169" i="10"/>
  <c r="K169" i="10"/>
  <c r="J169" i="10"/>
  <c r="H169" i="10"/>
  <c r="C169" i="10"/>
  <c r="N168" i="10"/>
  <c r="M168" i="10"/>
  <c r="K168" i="10"/>
  <c r="J168" i="10"/>
  <c r="H168" i="10"/>
  <c r="C168" i="10"/>
  <c r="N167" i="10"/>
  <c r="M167" i="10"/>
  <c r="K167" i="10"/>
  <c r="J167" i="10"/>
  <c r="H167" i="10"/>
  <c r="C167" i="10"/>
  <c r="N166" i="10"/>
  <c r="M166" i="10"/>
  <c r="K166" i="10"/>
  <c r="J166" i="10"/>
  <c r="H166" i="10"/>
  <c r="C166" i="10"/>
  <c r="N165" i="10"/>
  <c r="M165" i="10"/>
  <c r="K165" i="10"/>
  <c r="J165" i="10"/>
  <c r="H165" i="10"/>
  <c r="C165" i="10"/>
  <c r="N164" i="10"/>
  <c r="M164" i="10"/>
  <c r="K164" i="10"/>
  <c r="J164" i="10"/>
  <c r="H164" i="10"/>
  <c r="C164" i="10"/>
  <c r="N163" i="10"/>
  <c r="M163" i="10"/>
  <c r="K163" i="10"/>
  <c r="J163" i="10"/>
  <c r="H163" i="10"/>
  <c r="C163" i="10"/>
  <c r="N162" i="10"/>
  <c r="M162" i="10"/>
  <c r="K162" i="10"/>
  <c r="J162" i="10"/>
  <c r="H162" i="10"/>
  <c r="C162" i="10"/>
  <c r="N161" i="10"/>
  <c r="M161" i="10"/>
  <c r="K161" i="10"/>
  <c r="J161" i="10"/>
  <c r="H161" i="10"/>
  <c r="C161" i="10"/>
  <c r="N160" i="10"/>
  <c r="M160" i="10"/>
  <c r="K160" i="10"/>
  <c r="J160" i="10"/>
  <c r="H160" i="10"/>
  <c r="C160" i="10"/>
  <c r="N159" i="10"/>
  <c r="M159" i="10"/>
  <c r="K159" i="10"/>
  <c r="J159" i="10"/>
  <c r="H159" i="10"/>
  <c r="C159" i="10"/>
  <c r="N158" i="10"/>
  <c r="M158" i="10"/>
  <c r="K158" i="10"/>
  <c r="J158" i="10"/>
  <c r="H158" i="10"/>
  <c r="C158" i="10"/>
  <c r="N157" i="10"/>
  <c r="M157" i="10"/>
  <c r="K157" i="10"/>
  <c r="J157" i="10"/>
  <c r="H157" i="10"/>
  <c r="C157" i="10"/>
  <c r="N156" i="10"/>
  <c r="M156" i="10"/>
  <c r="K156" i="10"/>
  <c r="J156" i="10"/>
  <c r="H156" i="10"/>
  <c r="C156" i="10"/>
  <c r="N155" i="10"/>
  <c r="M155" i="10"/>
  <c r="K155" i="10"/>
  <c r="J155" i="10"/>
  <c r="J185" i="10" s="1"/>
  <c r="H155" i="10"/>
  <c r="C155" i="10"/>
  <c r="S148" i="10"/>
  <c r="R148" i="10"/>
  <c r="L148" i="10"/>
  <c r="I148" i="10"/>
  <c r="G148" i="10"/>
  <c r="F148" i="10"/>
  <c r="N147" i="10"/>
  <c r="M147" i="10"/>
  <c r="K147" i="10"/>
  <c r="J147" i="10"/>
  <c r="H147" i="10"/>
  <c r="C147" i="10"/>
  <c r="N146" i="10"/>
  <c r="M146" i="10"/>
  <c r="K146" i="10"/>
  <c r="J146" i="10"/>
  <c r="H146" i="10"/>
  <c r="C146" i="10"/>
  <c r="N145" i="10"/>
  <c r="M145" i="10"/>
  <c r="K145" i="10"/>
  <c r="J145" i="10"/>
  <c r="H145" i="10"/>
  <c r="C145" i="10"/>
  <c r="N144" i="10"/>
  <c r="M144" i="10"/>
  <c r="K144" i="10"/>
  <c r="J144" i="10"/>
  <c r="H144" i="10"/>
  <c r="C144" i="10"/>
  <c r="N143" i="10"/>
  <c r="M143" i="10"/>
  <c r="K143" i="10"/>
  <c r="J143" i="10"/>
  <c r="H143" i="10"/>
  <c r="C143" i="10"/>
  <c r="N142" i="10"/>
  <c r="M142" i="10"/>
  <c r="K142" i="10"/>
  <c r="J142" i="10"/>
  <c r="H142" i="10"/>
  <c r="C142" i="10"/>
  <c r="N141" i="10"/>
  <c r="M141" i="10"/>
  <c r="K141" i="10"/>
  <c r="J141" i="10"/>
  <c r="H141" i="10"/>
  <c r="C141" i="10"/>
  <c r="N140" i="10"/>
  <c r="M140" i="10"/>
  <c r="K140" i="10"/>
  <c r="J140" i="10"/>
  <c r="H140" i="10"/>
  <c r="C140" i="10"/>
  <c r="N139" i="10"/>
  <c r="M139" i="10"/>
  <c r="K139" i="10"/>
  <c r="J139" i="10"/>
  <c r="H139" i="10"/>
  <c r="C139" i="10"/>
  <c r="N138" i="10"/>
  <c r="M138" i="10"/>
  <c r="K138" i="10"/>
  <c r="J138" i="10"/>
  <c r="H138" i="10"/>
  <c r="C138" i="10"/>
  <c r="N137" i="10"/>
  <c r="M137" i="10"/>
  <c r="K137" i="10"/>
  <c r="J137" i="10"/>
  <c r="H137" i="10"/>
  <c r="C137" i="10"/>
  <c r="N136" i="10"/>
  <c r="M136" i="10"/>
  <c r="K136" i="10"/>
  <c r="J136" i="10"/>
  <c r="H136" i="10"/>
  <c r="C136" i="10"/>
  <c r="N135" i="10"/>
  <c r="M135" i="10"/>
  <c r="K135" i="10"/>
  <c r="J135" i="10"/>
  <c r="H135" i="10"/>
  <c r="C135" i="10"/>
  <c r="N134" i="10"/>
  <c r="M134" i="10"/>
  <c r="K134" i="10"/>
  <c r="J134" i="10"/>
  <c r="H134" i="10"/>
  <c r="C134" i="10"/>
  <c r="N133" i="10"/>
  <c r="M133" i="10"/>
  <c r="K133" i="10"/>
  <c r="J133" i="10"/>
  <c r="H133" i="10"/>
  <c r="C133" i="10"/>
  <c r="N132" i="10"/>
  <c r="M132" i="10"/>
  <c r="K132" i="10"/>
  <c r="J132" i="10"/>
  <c r="H132" i="10"/>
  <c r="C132" i="10"/>
  <c r="N131" i="10"/>
  <c r="M131" i="10"/>
  <c r="K131" i="10"/>
  <c r="J131" i="10"/>
  <c r="H131" i="10"/>
  <c r="C131" i="10"/>
  <c r="N130" i="10"/>
  <c r="M130" i="10"/>
  <c r="K130" i="10"/>
  <c r="J130" i="10"/>
  <c r="H130" i="10"/>
  <c r="C130" i="10"/>
  <c r="N129" i="10"/>
  <c r="M129" i="10"/>
  <c r="K129" i="10"/>
  <c r="J129" i="10"/>
  <c r="H129" i="10"/>
  <c r="C129" i="10"/>
  <c r="N128" i="10"/>
  <c r="M128" i="10"/>
  <c r="K128" i="10"/>
  <c r="J128" i="10"/>
  <c r="H128" i="10"/>
  <c r="C128" i="10"/>
  <c r="N127" i="10"/>
  <c r="M127" i="10"/>
  <c r="K127" i="10"/>
  <c r="J127" i="10"/>
  <c r="H127" i="10"/>
  <c r="P127" i="10" s="1"/>
  <c r="T127" i="10" s="1"/>
  <c r="C127" i="10"/>
  <c r="N126" i="10"/>
  <c r="M126" i="10"/>
  <c r="K126" i="10"/>
  <c r="J126" i="10"/>
  <c r="H126" i="10"/>
  <c r="C126" i="10"/>
  <c r="N125" i="10"/>
  <c r="M125" i="10"/>
  <c r="K125" i="10"/>
  <c r="P125" i="10" s="1"/>
  <c r="T125" i="10" s="1"/>
  <c r="J125" i="10"/>
  <c r="H125" i="10"/>
  <c r="C125" i="10"/>
  <c r="N124" i="10"/>
  <c r="M124" i="10"/>
  <c r="K124" i="10"/>
  <c r="J124" i="10"/>
  <c r="H124" i="10"/>
  <c r="C124" i="10"/>
  <c r="N123" i="10"/>
  <c r="M123" i="10"/>
  <c r="K123" i="10"/>
  <c r="P123" i="10" s="1"/>
  <c r="T123" i="10" s="1"/>
  <c r="J123" i="10"/>
  <c r="H123" i="10"/>
  <c r="C123" i="10"/>
  <c r="N122" i="10"/>
  <c r="M122" i="10"/>
  <c r="K122" i="10"/>
  <c r="J122" i="10"/>
  <c r="H122" i="10"/>
  <c r="C122" i="10"/>
  <c r="N121" i="10"/>
  <c r="M121" i="10"/>
  <c r="K121" i="10"/>
  <c r="J121" i="10"/>
  <c r="H121" i="10"/>
  <c r="C121" i="10"/>
  <c r="N120" i="10"/>
  <c r="M120" i="10"/>
  <c r="K120" i="10"/>
  <c r="J120" i="10"/>
  <c r="H120" i="10"/>
  <c r="C120" i="10"/>
  <c r="N119" i="10"/>
  <c r="M119" i="10"/>
  <c r="K119" i="10"/>
  <c r="J119" i="10"/>
  <c r="H119" i="10"/>
  <c r="C119" i="10"/>
  <c r="N118" i="10"/>
  <c r="M118" i="10"/>
  <c r="K118" i="10"/>
  <c r="J118" i="10"/>
  <c r="H118" i="10"/>
  <c r="C118" i="10"/>
  <c r="S111" i="10"/>
  <c r="R111" i="10"/>
  <c r="L111" i="10"/>
  <c r="I111" i="10"/>
  <c r="G111" i="10"/>
  <c r="F111" i="10"/>
  <c r="N110" i="10"/>
  <c r="M110" i="10"/>
  <c r="K110" i="10"/>
  <c r="J110" i="10"/>
  <c r="H110" i="10"/>
  <c r="C110" i="10"/>
  <c r="N109" i="10"/>
  <c r="M109" i="10"/>
  <c r="K109" i="10"/>
  <c r="P109" i="10" s="1"/>
  <c r="T109" i="10" s="1"/>
  <c r="J109" i="10"/>
  <c r="H109" i="10"/>
  <c r="C109" i="10"/>
  <c r="N108" i="10"/>
  <c r="M108" i="10"/>
  <c r="K108" i="10"/>
  <c r="J108" i="10"/>
  <c r="H108" i="10"/>
  <c r="C108" i="10"/>
  <c r="N107" i="10"/>
  <c r="M107" i="10"/>
  <c r="K107" i="10"/>
  <c r="J107" i="10"/>
  <c r="H107" i="10"/>
  <c r="C107" i="10"/>
  <c r="N106" i="10"/>
  <c r="M106" i="10"/>
  <c r="K106" i="10"/>
  <c r="J106" i="10"/>
  <c r="H106" i="10"/>
  <c r="C106" i="10"/>
  <c r="N105" i="10"/>
  <c r="M105" i="10"/>
  <c r="K105" i="10"/>
  <c r="J105" i="10"/>
  <c r="H105" i="10"/>
  <c r="C105" i="10"/>
  <c r="N104" i="10"/>
  <c r="M104" i="10"/>
  <c r="K104" i="10"/>
  <c r="J104" i="10"/>
  <c r="H104" i="10"/>
  <c r="C104" i="10"/>
  <c r="N103" i="10"/>
  <c r="M103" i="10"/>
  <c r="K103" i="10"/>
  <c r="P103" i="10" s="1"/>
  <c r="T103" i="10" s="1"/>
  <c r="J103" i="10"/>
  <c r="H103" i="10"/>
  <c r="C103" i="10"/>
  <c r="N102" i="10"/>
  <c r="M102" i="10"/>
  <c r="K102" i="10"/>
  <c r="J102" i="10"/>
  <c r="H102" i="10"/>
  <c r="C102" i="10"/>
  <c r="N101" i="10"/>
  <c r="M101" i="10"/>
  <c r="K101" i="10"/>
  <c r="P101" i="10" s="1"/>
  <c r="T101" i="10" s="1"/>
  <c r="J101" i="10"/>
  <c r="H101" i="10"/>
  <c r="C101" i="10"/>
  <c r="N100" i="10"/>
  <c r="M100" i="10"/>
  <c r="K100" i="10"/>
  <c r="J100" i="10"/>
  <c r="H100" i="10"/>
  <c r="C100" i="10"/>
  <c r="N99" i="10"/>
  <c r="M99" i="10"/>
  <c r="K99" i="10"/>
  <c r="J99" i="10"/>
  <c r="H99" i="10"/>
  <c r="C99" i="10"/>
  <c r="N98" i="10"/>
  <c r="M98" i="10"/>
  <c r="K98" i="10"/>
  <c r="J98" i="10"/>
  <c r="H98" i="10"/>
  <c r="C98" i="10"/>
  <c r="N97" i="10"/>
  <c r="M97" i="10"/>
  <c r="K97" i="10"/>
  <c r="J97" i="10"/>
  <c r="H97" i="10"/>
  <c r="C97" i="10"/>
  <c r="N96" i="10"/>
  <c r="M96" i="10"/>
  <c r="K96" i="10"/>
  <c r="J96" i="10"/>
  <c r="H96" i="10"/>
  <c r="C96" i="10"/>
  <c r="N95" i="10"/>
  <c r="M95" i="10"/>
  <c r="K95" i="10"/>
  <c r="P95" i="10" s="1"/>
  <c r="T95" i="10" s="1"/>
  <c r="J95" i="10"/>
  <c r="H95" i="10"/>
  <c r="C95" i="10"/>
  <c r="N94" i="10"/>
  <c r="M94" i="10"/>
  <c r="K94" i="10"/>
  <c r="J94" i="10"/>
  <c r="H94" i="10"/>
  <c r="C94" i="10"/>
  <c r="N93" i="10"/>
  <c r="M93" i="10"/>
  <c r="K93" i="10"/>
  <c r="J93" i="10"/>
  <c r="H93" i="10"/>
  <c r="C93" i="10"/>
  <c r="N92" i="10"/>
  <c r="M92" i="10"/>
  <c r="K92" i="10"/>
  <c r="J92" i="10"/>
  <c r="H92" i="10"/>
  <c r="C92" i="10"/>
  <c r="N91" i="10"/>
  <c r="M91" i="10"/>
  <c r="K91" i="10"/>
  <c r="J91" i="10"/>
  <c r="H91" i="10"/>
  <c r="C91" i="10"/>
  <c r="N90" i="10"/>
  <c r="M90" i="10"/>
  <c r="K90" i="10"/>
  <c r="J90" i="10"/>
  <c r="H90" i="10"/>
  <c r="C90" i="10"/>
  <c r="N89" i="10"/>
  <c r="M89" i="10"/>
  <c r="K89" i="10"/>
  <c r="J89" i="10"/>
  <c r="H89" i="10"/>
  <c r="C89" i="10"/>
  <c r="N88" i="10"/>
  <c r="M88" i="10"/>
  <c r="K88" i="10"/>
  <c r="J88" i="10"/>
  <c r="H88" i="10"/>
  <c r="C88" i="10"/>
  <c r="N87" i="10"/>
  <c r="M87" i="10"/>
  <c r="K87" i="10"/>
  <c r="J87" i="10"/>
  <c r="H87" i="10"/>
  <c r="C87" i="10"/>
  <c r="N86" i="10"/>
  <c r="M86" i="10"/>
  <c r="K86" i="10"/>
  <c r="J86" i="10"/>
  <c r="H86" i="10"/>
  <c r="C86" i="10"/>
  <c r="N85" i="10"/>
  <c r="M85" i="10"/>
  <c r="K85" i="10"/>
  <c r="J85" i="10"/>
  <c r="H85" i="10"/>
  <c r="C85" i="10"/>
  <c r="N84" i="10"/>
  <c r="M84" i="10"/>
  <c r="K84" i="10"/>
  <c r="J84" i="10"/>
  <c r="H84" i="10"/>
  <c r="C84" i="10"/>
  <c r="N83" i="10"/>
  <c r="M83" i="10"/>
  <c r="K83" i="10"/>
  <c r="J83" i="10"/>
  <c r="H83" i="10"/>
  <c r="C83" i="10"/>
  <c r="N82" i="10"/>
  <c r="M82" i="10"/>
  <c r="K82" i="10"/>
  <c r="J82" i="10"/>
  <c r="H82" i="10"/>
  <c r="C82" i="10"/>
  <c r="N81" i="10"/>
  <c r="M81" i="10"/>
  <c r="K81" i="10"/>
  <c r="J81" i="10"/>
  <c r="H81" i="10"/>
  <c r="C81" i="10"/>
  <c r="S74" i="10"/>
  <c r="R74" i="10"/>
  <c r="L74" i="10"/>
  <c r="I74" i="10"/>
  <c r="G74" i="10"/>
  <c r="F74" i="10"/>
  <c r="N73" i="10"/>
  <c r="M73" i="10"/>
  <c r="K73" i="10"/>
  <c r="P73" i="10" s="1"/>
  <c r="T73" i="10" s="1"/>
  <c r="J73" i="10"/>
  <c r="H73" i="10"/>
  <c r="C73" i="10"/>
  <c r="N72" i="10"/>
  <c r="M72" i="10"/>
  <c r="K72" i="10"/>
  <c r="J72" i="10"/>
  <c r="H72" i="10"/>
  <c r="C72" i="10"/>
  <c r="N71" i="10"/>
  <c r="M71" i="10"/>
  <c r="K71" i="10"/>
  <c r="P71" i="10" s="1"/>
  <c r="T71" i="10" s="1"/>
  <c r="J71" i="10"/>
  <c r="H71" i="10"/>
  <c r="C71" i="10"/>
  <c r="N70" i="10"/>
  <c r="M70" i="10"/>
  <c r="K70" i="10"/>
  <c r="J70" i="10"/>
  <c r="H70" i="10"/>
  <c r="C70" i="10"/>
  <c r="N69" i="10"/>
  <c r="M69" i="10"/>
  <c r="K69" i="10"/>
  <c r="J69" i="10"/>
  <c r="H69" i="10"/>
  <c r="C69" i="10"/>
  <c r="N68" i="10"/>
  <c r="M68" i="10"/>
  <c r="K68" i="10"/>
  <c r="J68" i="10"/>
  <c r="H68" i="10"/>
  <c r="C68" i="10"/>
  <c r="N67" i="10"/>
  <c r="M67" i="10"/>
  <c r="K67" i="10"/>
  <c r="J67" i="10"/>
  <c r="H67" i="10"/>
  <c r="C67" i="10"/>
  <c r="N66" i="10"/>
  <c r="M66" i="10"/>
  <c r="K66" i="10"/>
  <c r="J66" i="10"/>
  <c r="H66" i="10"/>
  <c r="C66" i="10"/>
  <c r="N65" i="10"/>
  <c r="M65" i="10"/>
  <c r="K65" i="10"/>
  <c r="P65" i="10" s="1"/>
  <c r="T65" i="10" s="1"/>
  <c r="J65" i="10"/>
  <c r="H65" i="10"/>
  <c r="C65" i="10"/>
  <c r="N64" i="10"/>
  <c r="M64" i="10"/>
  <c r="K64" i="10"/>
  <c r="J64" i="10"/>
  <c r="H64" i="10"/>
  <c r="C64" i="10"/>
  <c r="N63" i="10"/>
  <c r="M63" i="10"/>
  <c r="K63" i="10"/>
  <c r="J63" i="10"/>
  <c r="H63" i="10"/>
  <c r="C63" i="10"/>
  <c r="N62" i="10"/>
  <c r="M62" i="10"/>
  <c r="K62" i="10"/>
  <c r="J62" i="10"/>
  <c r="H62" i="10"/>
  <c r="C62" i="10"/>
  <c r="N61" i="10"/>
  <c r="M61" i="10"/>
  <c r="K61" i="10"/>
  <c r="P61" i="10" s="1"/>
  <c r="T61" i="10" s="1"/>
  <c r="J61" i="10"/>
  <c r="H61" i="10"/>
  <c r="C61" i="10"/>
  <c r="N60" i="10"/>
  <c r="M60" i="10"/>
  <c r="K60" i="10"/>
  <c r="J60" i="10"/>
  <c r="H60" i="10"/>
  <c r="C60" i="10"/>
  <c r="N59" i="10"/>
  <c r="M59" i="10"/>
  <c r="K59" i="10"/>
  <c r="J59" i="10"/>
  <c r="H59" i="10"/>
  <c r="C59" i="10"/>
  <c r="N58" i="10"/>
  <c r="M58" i="10"/>
  <c r="K58" i="10"/>
  <c r="J58" i="10"/>
  <c r="H58" i="10"/>
  <c r="C58" i="10"/>
  <c r="N57" i="10"/>
  <c r="M57" i="10"/>
  <c r="K57" i="10"/>
  <c r="J57" i="10"/>
  <c r="H57" i="10"/>
  <c r="C57" i="10"/>
  <c r="N56" i="10"/>
  <c r="M56" i="10"/>
  <c r="K56" i="10"/>
  <c r="J56" i="10"/>
  <c r="H56" i="10"/>
  <c r="C56" i="10"/>
  <c r="N55" i="10"/>
  <c r="M55" i="10"/>
  <c r="K55" i="10"/>
  <c r="J55" i="10"/>
  <c r="H55" i="10"/>
  <c r="C55" i="10"/>
  <c r="N54" i="10"/>
  <c r="M54" i="10"/>
  <c r="K54" i="10"/>
  <c r="J54" i="10"/>
  <c r="H54" i="10"/>
  <c r="C54" i="10"/>
  <c r="N53" i="10"/>
  <c r="M53" i="10"/>
  <c r="K53" i="10"/>
  <c r="J53" i="10"/>
  <c r="H53" i="10"/>
  <c r="C53" i="10"/>
  <c r="N52" i="10"/>
  <c r="M52" i="10"/>
  <c r="K52" i="10"/>
  <c r="J52" i="10"/>
  <c r="H52" i="10"/>
  <c r="C52" i="10"/>
  <c r="N51" i="10"/>
  <c r="M51" i="10"/>
  <c r="K51" i="10"/>
  <c r="J51" i="10"/>
  <c r="H51" i="10"/>
  <c r="C51" i="10"/>
  <c r="N50" i="10"/>
  <c r="M50" i="10"/>
  <c r="K50" i="10"/>
  <c r="J50" i="10"/>
  <c r="H50" i="10"/>
  <c r="C50" i="10"/>
  <c r="N49" i="10"/>
  <c r="M49" i="10"/>
  <c r="K49" i="10"/>
  <c r="J49" i="10"/>
  <c r="H49" i="10"/>
  <c r="C49" i="10"/>
  <c r="N48" i="10"/>
  <c r="M48" i="10"/>
  <c r="K48" i="10"/>
  <c r="J48" i="10"/>
  <c r="H48" i="10"/>
  <c r="C48" i="10"/>
  <c r="N47" i="10"/>
  <c r="M47" i="10"/>
  <c r="K47" i="10"/>
  <c r="J47" i="10"/>
  <c r="H47" i="10"/>
  <c r="C47" i="10"/>
  <c r="N46" i="10"/>
  <c r="M46" i="10"/>
  <c r="K46" i="10"/>
  <c r="J46" i="10"/>
  <c r="H46" i="10"/>
  <c r="C46" i="10"/>
  <c r="N45" i="10"/>
  <c r="M45" i="10"/>
  <c r="K45" i="10"/>
  <c r="J45" i="10"/>
  <c r="H45" i="10"/>
  <c r="C45" i="10"/>
  <c r="B45" i="10"/>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B184" i="10" s="1"/>
  <c r="B185" i="10" s="1"/>
  <c r="B192" i="10" s="1"/>
  <c r="B193" i="10" s="1"/>
  <c r="B194" i="10" s="1"/>
  <c r="B195" i="10" s="1"/>
  <c r="B196" i="10" s="1"/>
  <c r="B197" i="10" s="1"/>
  <c r="B198" i="10" s="1"/>
  <c r="B199" i="10" s="1"/>
  <c r="B200" i="10" s="1"/>
  <c r="B201" i="10" s="1"/>
  <c r="B202" i="10" s="1"/>
  <c r="B203" i="10" s="1"/>
  <c r="B204" i="10" s="1"/>
  <c r="B205" i="10" s="1"/>
  <c r="B206" i="10" s="1"/>
  <c r="B207" i="10" s="1"/>
  <c r="B208" i="10" s="1"/>
  <c r="B209" i="10" s="1"/>
  <c r="B210" i="10" s="1"/>
  <c r="B211" i="10" s="1"/>
  <c r="B212" i="10" s="1"/>
  <c r="B213" i="10" s="1"/>
  <c r="B214" i="10" s="1"/>
  <c r="B215" i="10" s="1"/>
  <c r="B216" i="10" s="1"/>
  <c r="B217" i="10" s="1"/>
  <c r="B218" i="10" s="1"/>
  <c r="B219" i="10" s="1"/>
  <c r="B220" i="10" s="1"/>
  <c r="B221" i="10" s="1"/>
  <c r="B222" i="10" s="1"/>
  <c r="B229" i="10" s="1"/>
  <c r="B230" i="10" s="1"/>
  <c r="B231" i="10" s="1"/>
  <c r="B232" i="10" s="1"/>
  <c r="B233" i="10" s="1"/>
  <c r="B234" i="10" s="1"/>
  <c r="B235" i="10" s="1"/>
  <c r="B236" i="10" s="1"/>
  <c r="B237" i="10" s="1"/>
  <c r="B238" i="10" s="1"/>
  <c r="B239" i="10" s="1"/>
  <c r="B240" i="10" s="1"/>
  <c r="B241" i="10" s="1"/>
  <c r="B242" i="10" s="1"/>
  <c r="B243" i="10" s="1"/>
  <c r="B244" i="10" s="1"/>
  <c r="B245" i="10" s="1"/>
  <c r="B246" i="10" s="1"/>
  <c r="B247" i="10" s="1"/>
  <c r="B248" i="10" s="1"/>
  <c r="B249" i="10" s="1"/>
  <c r="B250" i="10" s="1"/>
  <c r="B251" i="10" s="1"/>
  <c r="B252" i="10" s="1"/>
  <c r="B253" i="10" s="1"/>
  <c r="B254" i="10" s="1"/>
  <c r="B255" i="10" s="1"/>
  <c r="B256" i="10" s="1"/>
  <c r="B257" i="10" s="1"/>
  <c r="B258" i="10" s="1"/>
  <c r="B259" i="10" s="1"/>
  <c r="B266" i="10" s="1"/>
  <c r="B267" i="10" s="1"/>
  <c r="B268" i="10" s="1"/>
  <c r="B269" i="10" s="1"/>
  <c r="B270" i="10" s="1"/>
  <c r="B271" i="10" s="1"/>
  <c r="B272" i="10" s="1"/>
  <c r="B273" i="10" s="1"/>
  <c r="B274" i="10" s="1"/>
  <c r="B275" i="10" s="1"/>
  <c r="B276" i="10" s="1"/>
  <c r="B277" i="10" s="1"/>
  <c r="B278" i="10" s="1"/>
  <c r="B279" i="10" s="1"/>
  <c r="B280" i="10" s="1"/>
  <c r="B281" i="10" s="1"/>
  <c r="B282" i="10" s="1"/>
  <c r="B283" i="10" s="1"/>
  <c r="B284" i="10" s="1"/>
  <c r="B285" i="10" s="1"/>
  <c r="B286" i="10" s="1"/>
  <c r="B287" i="10" s="1"/>
  <c r="B288" i="10" s="1"/>
  <c r="B289" i="10" s="1"/>
  <c r="B290" i="10" s="1"/>
  <c r="B291" i="10" s="1"/>
  <c r="B292" i="10" s="1"/>
  <c r="B293" i="10" s="1"/>
  <c r="B294" i="10" s="1"/>
  <c r="B295" i="10" s="1"/>
  <c r="B296" i="10" s="1"/>
  <c r="B303" i="10" s="1"/>
  <c r="B304" i="10" s="1"/>
  <c r="B305" i="10" s="1"/>
  <c r="B306" i="10" s="1"/>
  <c r="B307" i="10" s="1"/>
  <c r="B308" i="10" s="1"/>
  <c r="B309" i="10" s="1"/>
  <c r="B310" i="10" s="1"/>
  <c r="B311" i="10" s="1"/>
  <c r="B312" i="10" s="1"/>
  <c r="B313" i="10" s="1"/>
  <c r="B314" i="10" s="1"/>
  <c r="B315" i="10" s="1"/>
  <c r="B316" i="10" s="1"/>
  <c r="B317" i="10" s="1"/>
  <c r="B318" i="10" s="1"/>
  <c r="B319" i="10" s="1"/>
  <c r="B320" i="10" s="1"/>
  <c r="B321" i="10" s="1"/>
  <c r="B322" i="10" s="1"/>
  <c r="B323" i="10" s="1"/>
  <c r="B324" i="10" s="1"/>
  <c r="B325" i="10" s="1"/>
  <c r="B326" i="10" s="1"/>
  <c r="B327" i="10" s="1"/>
  <c r="B328" i="10" s="1"/>
  <c r="B329" i="10" s="1"/>
  <c r="B330" i="10" s="1"/>
  <c r="B331" i="10" s="1"/>
  <c r="B332" i="10" s="1"/>
  <c r="B333" i="10" s="1"/>
  <c r="B340" i="10" s="1"/>
  <c r="B341" i="10" s="1"/>
  <c r="B342" i="10" s="1"/>
  <c r="B343" i="10" s="1"/>
  <c r="B344" i="10" s="1"/>
  <c r="B345" i="10" s="1"/>
  <c r="B346" i="10" s="1"/>
  <c r="B347" i="10" s="1"/>
  <c r="B348" i="10" s="1"/>
  <c r="B349" i="10" s="1"/>
  <c r="B350" i="10" s="1"/>
  <c r="B351" i="10" s="1"/>
  <c r="B352" i="10" s="1"/>
  <c r="B353" i="10" s="1"/>
  <c r="B354" i="10" s="1"/>
  <c r="B355" i="10" s="1"/>
  <c r="B356" i="10" s="1"/>
  <c r="B357" i="10" s="1"/>
  <c r="B358" i="10" s="1"/>
  <c r="B359" i="10" s="1"/>
  <c r="B360" i="10" s="1"/>
  <c r="B361" i="10" s="1"/>
  <c r="B362" i="10" s="1"/>
  <c r="B363" i="10" s="1"/>
  <c r="B364" i="10" s="1"/>
  <c r="B365" i="10" s="1"/>
  <c r="B366" i="10" s="1"/>
  <c r="B367" i="10" s="1"/>
  <c r="B368" i="10" s="1"/>
  <c r="B369" i="10" s="1"/>
  <c r="B370" i="10" s="1"/>
  <c r="B377" i="10" s="1"/>
  <c r="B378" i="10" s="1"/>
  <c r="B379" i="10" s="1"/>
  <c r="B380" i="10" s="1"/>
  <c r="B381" i="10" s="1"/>
  <c r="B382" i="10" s="1"/>
  <c r="B383" i="10" s="1"/>
  <c r="B384" i="10" s="1"/>
  <c r="B385" i="10" s="1"/>
  <c r="B386" i="10" s="1"/>
  <c r="B387" i="10" s="1"/>
  <c r="B388" i="10" s="1"/>
  <c r="B389" i="10" s="1"/>
  <c r="B390" i="10" s="1"/>
  <c r="B391" i="10" s="1"/>
  <c r="B392" i="10" s="1"/>
  <c r="B393" i="10" s="1"/>
  <c r="B394" i="10" s="1"/>
  <c r="B395" i="10" s="1"/>
  <c r="B396" i="10" s="1"/>
  <c r="B397" i="10" s="1"/>
  <c r="B398" i="10" s="1"/>
  <c r="B399" i="10" s="1"/>
  <c r="B400" i="10" s="1"/>
  <c r="B401" i="10" s="1"/>
  <c r="B402" i="10" s="1"/>
  <c r="B403" i="10" s="1"/>
  <c r="B404" i="10" s="1"/>
  <c r="B405" i="10" s="1"/>
  <c r="B406" i="10" s="1"/>
  <c r="B407" i="10" s="1"/>
  <c r="B414" i="10" s="1"/>
  <c r="B415" i="10" s="1"/>
  <c r="B416" i="10" s="1"/>
  <c r="B417" i="10" s="1"/>
  <c r="B418" i="10" s="1"/>
  <c r="B419" i="10" s="1"/>
  <c r="B420" i="10" s="1"/>
  <c r="B421" i="10" s="1"/>
  <c r="B422" i="10" s="1"/>
  <c r="B423" i="10" s="1"/>
  <c r="B424" i="10" s="1"/>
  <c r="B425" i="10" s="1"/>
  <c r="B426" i="10" s="1"/>
  <c r="B427" i="10" s="1"/>
  <c r="B428" i="10" s="1"/>
  <c r="B429" i="10" s="1"/>
  <c r="B430" i="10" s="1"/>
  <c r="B431" i="10" s="1"/>
  <c r="B432" i="10" s="1"/>
  <c r="B433" i="10" s="1"/>
  <c r="B434" i="10" s="1"/>
  <c r="B435" i="10" s="1"/>
  <c r="B436" i="10" s="1"/>
  <c r="B437" i="10" s="1"/>
  <c r="B438" i="10" s="1"/>
  <c r="B439" i="10" s="1"/>
  <c r="B440" i="10" s="1"/>
  <c r="B441" i="10" s="1"/>
  <c r="B442" i="10" s="1"/>
  <c r="B443" i="10" s="1"/>
  <c r="B444" i="10" s="1"/>
  <c r="N44" i="10"/>
  <c r="M44" i="10"/>
  <c r="K44" i="10"/>
  <c r="J44" i="10"/>
  <c r="H44" i="10"/>
  <c r="C44" i="10"/>
  <c r="B44" i="10"/>
  <c r="S37" i="10"/>
  <c r="R37" i="10"/>
  <c r="L37" i="10"/>
  <c r="I37" i="10"/>
  <c r="G37" i="10"/>
  <c r="F37" i="10"/>
  <c r="N36" i="10"/>
  <c r="M36" i="10"/>
  <c r="K36" i="10"/>
  <c r="J36" i="10"/>
  <c r="H36" i="10"/>
  <c r="C36" i="10"/>
  <c r="N35" i="10"/>
  <c r="M35" i="10"/>
  <c r="K35" i="10"/>
  <c r="J35" i="10"/>
  <c r="H35" i="10"/>
  <c r="C35" i="10"/>
  <c r="N34" i="10"/>
  <c r="M34" i="10"/>
  <c r="K34" i="10"/>
  <c r="J34" i="10"/>
  <c r="H34" i="10"/>
  <c r="C34" i="10"/>
  <c r="N33" i="10"/>
  <c r="M33" i="10"/>
  <c r="K33" i="10"/>
  <c r="J33" i="10"/>
  <c r="H33" i="10"/>
  <c r="C33" i="10"/>
  <c r="N32" i="10"/>
  <c r="M32" i="10"/>
  <c r="K32" i="10"/>
  <c r="J32" i="10"/>
  <c r="H32" i="10"/>
  <c r="C32" i="10"/>
  <c r="N31" i="10"/>
  <c r="M31" i="10"/>
  <c r="K31" i="10"/>
  <c r="J31" i="10"/>
  <c r="H31" i="10"/>
  <c r="C31" i="10"/>
  <c r="N30" i="10"/>
  <c r="M30" i="10"/>
  <c r="K30" i="10"/>
  <c r="J30" i="10"/>
  <c r="H30" i="10"/>
  <c r="C30" i="10"/>
  <c r="N29" i="10"/>
  <c r="M29" i="10"/>
  <c r="K29" i="10"/>
  <c r="J29" i="10"/>
  <c r="H29" i="10"/>
  <c r="C29" i="10"/>
  <c r="N28" i="10"/>
  <c r="M28" i="10"/>
  <c r="K28" i="10"/>
  <c r="J28" i="10"/>
  <c r="H28" i="10"/>
  <c r="C28" i="10"/>
  <c r="N27" i="10"/>
  <c r="M27" i="10"/>
  <c r="K27" i="10"/>
  <c r="J27" i="10"/>
  <c r="H27" i="10"/>
  <c r="C27" i="10"/>
  <c r="N26" i="10"/>
  <c r="M26" i="10"/>
  <c r="K26" i="10"/>
  <c r="J26" i="10"/>
  <c r="H26" i="10"/>
  <c r="C26" i="10"/>
  <c r="N25" i="10"/>
  <c r="M25" i="10"/>
  <c r="K25" i="10"/>
  <c r="J25" i="10"/>
  <c r="H25" i="10"/>
  <c r="C25" i="10"/>
  <c r="N24" i="10"/>
  <c r="M24" i="10"/>
  <c r="K24" i="10"/>
  <c r="J24" i="10"/>
  <c r="H24" i="10"/>
  <c r="C24" i="10"/>
  <c r="N23" i="10"/>
  <c r="M23" i="10"/>
  <c r="K23" i="10"/>
  <c r="J23" i="10"/>
  <c r="H23" i="10"/>
  <c r="C23" i="10"/>
  <c r="N22" i="10"/>
  <c r="M22" i="10"/>
  <c r="K22" i="10"/>
  <c r="J22" i="10"/>
  <c r="H22" i="10"/>
  <c r="C22" i="10"/>
  <c r="N21" i="10"/>
  <c r="M21" i="10"/>
  <c r="K21" i="10"/>
  <c r="J21" i="10"/>
  <c r="H21" i="10"/>
  <c r="C21" i="10"/>
  <c r="N20" i="10"/>
  <c r="M20" i="10"/>
  <c r="K20" i="10"/>
  <c r="J20" i="10"/>
  <c r="H20" i="10"/>
  <c r="C20" i="10"/>
  <c r="N19" i="10"/>
  <c r="M19" i="10"/>
  <c r="K19" i="10"/>
  <c r="J19" i="10"/>
  <c r="H19" i="10"/>
  <c r="C19" i="10"/>
  <c r="N18" i="10"/>
  <c r="M18" i="10"/>
  <c r="K18" i="10"/>
  <c r="J18" i="10"/>
  <c r="H18" i="10"/>
  <c r="C18" i="10"/>
  <c r="N17" i="10"/>
  <c r="M17" i="10"/>
  <c r="K17" i="10"/>
  <c r="J17" i="10"/>
  <c r="H17" i="10"/>
  <c r="C17" i="10"/>
  <c r="N16" i="10"/>
  <c r="M16" i="10"/>
  <c r="K16" i="10"/>
  <c r="J16" i="10"/>
  <c r="H16" i="10"/>
  <c r="C16" i="10"/>
  <c r="N15" i="10"/>
  <c r="M15" i="10"/>
  <c r="K15" i="10"/>
  <c r="J15" i="10"/>
  <c r="H15" i="10"/>
  <c r="C15" i="10"/>
  <c r="N14" i="10"/>
  <c r="M14" i="10"/>
  <c r="K14" i="10"/>
  <c r="J14" i="10"/>
  <c r="H14" i="10"/>
  <c r="C14" i="10"/>
  <c r="N13" i="10"/>
  <c r="M13" i="10"/>
  <c r="K13" i="10"/>
  <c r="J13" i="10"/>
  <c r="H13" i="10"/>
  <c r="C13" i="10"/>
  <c r="N12" i="10"/>
  <c r="M12" i="10"/>
  <c r="K12" i="10"/>
  <c r="J12" i="10"/>
  <c r="H12" i="10"/>
  <c r="C12" i="10"/>
  <c r="N11" i="10"/>
  <c r="M11" i="10"/>
  <c r="K11" i="10"/>
  <c r="J11" i="10"/>
  <c r="H11" i="10"/>
  <c r="C11" i="10"/>
  <c r="N10" i="10"/>
  <c r="M10" i="10"/>
  <c r="K10" i="10"/>
  <c r="J10" i="10"/>
  <c r="H10" i="10"/>
  <c r="C10" i="10"/>
  <c r="N9" i="10"/>
  <c r="M9" i="10"/>
  <c r="K9" i="10"/>
  <c r="J9" i="10"/>
  <c r="H9" i="10"/>
  <c r="C9" i="10"/>
  <c r="N8" i="10"/>
  <c r="M8" i="10"/>
  <c r="K8" i="10"/>
  <c r="J8" i="10"/>
  <c r="H8" i="10"/>
  <c r="C8" i="10"/>
  <c r="N7" i="10"/>
  <c r="M7" i="10"/>
  <c r="K7" i="10"/>
  <c r="J7" i="10"/>
  <c r="H7" i="10"/>
  <c r="H37" i="10" s="1"/>
  <c r="C7" i="10"/>
  <c r="J148" i="10" l="1"/>
  <c r="H111" i="10"/>
  <c r="J296" i="10"/>
  <c r="P342" i="10"/>
  <c r="T342" i="10" s="1"/>
  <c r="P344" i="10"/>
  <c r="T344" i="10" s="1"/>
  <c r="P348" i="10"/>
  <c r="T348" i="10" s="1"/>
  <c r="P352" i="10"/>
  <c r="T352" i="10" s="1"/>
  <c r="P416" i="10"/>
  <c r="T416" i="10" s="1"/>
  <c r="P422" i="10"/>
  <c r="T422" i="10" s="1"/>
  <c r="P424" i="10"/>
  <c r="T424" i="10" s="1"/>
  <c r="P430" i="10"/>
  <c r="T430" i="10" s="1"/>
  <c r="P436" i="10"/>
  <c r="T436" i="10" s="1"/>
  <c r="P440" i="10"/>
  <c r="T440" i="10" s="1"/>
  <c r="P442" i="10"/>
  <c r="T442" i="10" s="1"/>
  <c r="P51" i="10"/>
  <c r="T51" i="10" s="1"/>
  <c r="O125" i="10"/>
  <c r="O127" i="10"/>
  <c r="P131" i="10"/>
  <c r="T131" i="10" s="1"/>
  <c r="P135" i="10"/>
  <c r="T135" i="10" s="1"/>
  <c r="P145" i="10"/>
  <c r="T145" i="10" s="1"/>
  <c r="Q145" i="10" s="1"/>
  <c r="U145" i="10" s="1"/>
  <c r="V145" i="10" s="1"/>
  <c r="K222" i="10"/>
  <c r="P194" i="10"/>
  <c r="T194" i="10" s="1"/>
  <c r="P196" i="10"/>
  <c r="T196" i="10" s="1"/>
  <c r="P198" i="10"/>
  <c r="T198" i="10" s="1"/>
  <c r="Q198" i="10" s="1"/>
  <c r="U198" i="10" s="1"/>
  <c r="V198" i="10" s="1"/>
  <c r="P200" i="10"/>
  <c r="T200" i="10" s="1"/>
  <c r="P202" i="10"/>
  <c r="T202" i="10" s="1"/>
  <c r="P204" i="10"/>
  <c r="T204" i="10" s="1"/>
  <c r="P206" i="10"/>
  <c r="T206" i="10" s="1"/>
  <c r="P208" i="10"/>
  <c r="T208" i="10" s="1"/>
  <c r="P210" i="10"/>
  <c r="T210" i="10" s="1"/>
  <c r="P212" i="10"/>
  <c r="T212" i="10" s="1"/>
  <c r="P214" i="10"/>
  <c r="T214" i="10" s="1"/>
  <c r="Q214" i="10" s="1"/>
  <c r="U214" i="10" s="1"/>
  <c r="V214" i="10" s="1"/>
  <c r="P216" i="10"/>
  <c r="T216" i="10" s="1"/>
  <c r="P218" i="10"/>
  <c r="T218" i="10" s="1"/>
  <c r="P220" i="10"/>
  <c r="T220" i="10" s="1"/>
  <c r="P277" i="10"/>
  <c r="T277" i="10" s="1"/>
  <c r="P281" i="10"/>
  <c r="T281" i="10" s="1"/>
  <c r="P285" i="10"/>
  <c r="T285" i="10" s="1"/>
  <c r="P288" i="10"/>
  <c r="T288" i="10" s="1"/>
  <c r="P293" i="10"/>
  <c r="T293" i="10" s="1"/>
  <c r="Q293" i="10" s="1"/>
  <c r="U293" i="10" s="1"/>
  <c r="V293" i="10" s="1"/>
  <c r="P322" i="10"/>
  <c r="T322" i="10" s="1"/>
  <c r="P326" i="10"/>
  <c r="T326" i="10" s="1"/>
  <c r="O16" i="13"/>
  <c r="M17" i="13" s="1"/>
  <c r="K18" i="13" s="1"/>
  <c r="M18" i="13" s="1"/>
  <c r="O8" i="13"/>
  <c r="M9" i="13" s="1"/>
  <c r="P19" i="13" s="1"/>
  <c r="K10" i="13" s="1"/>
  <c r="M10" i="13" s="1"/>
  <c r="Q19" i="13" s="1"/>
  <c r="K11" i="13" s="1"/>
  <c r="G19" i="13" s="1"/>
  <c r="P53" i="10"/>
  <c r="T53" i="10" s="1"/>
  <c r="P57" i="10"/>
  <c r="T57" i="10" s="1"/>
  <c r="O92" i="10"/>
  <c r="P294" i="10"/>
  <c r="T294" i="10" s="1"/>
  <c r="Q294" i="10" s="1"/>
  <c r="U294" i="10" s="1"/>
  <c r="P308" i="10"/>
  <c r="T308" i="10" s="1"/>
  <c r="Q308" i="10" s="1"/>
  <c r="U308" i="10" s="1"/>
  <c r="P310" i="10"/>
  <c r="T310" i="10" s="1"/>
  <c r="P314" i="10"/>
  <c r="T314" i="10" s="1"/>
  <c r="P318" i="10"/>
  <c r="T318" i="10" s="1"/>
  <c r="Q318" i="10" s="1"/>
  <c r="U318" i="10" s="1"/>
  <c r="V318" i="10" s="1"/>
  <c r="P320" i="10"/>
  <c r="T320" i="10" s="1"/>
  <c r="O322" i="10"/>
  <c r="P9" i="10"/>
  <c r="T9" i="10" s="1"/>
  <c r="P10" i="10"/>
  <c r="T10" i="10" s="1"/>
  <c r="Q10" i="10" s="1"/>
  <c r="U10" i="10" s="1"/>
  <c r="V10" i="10" s="1"/>
  <c r="W10" i="10" s="1"/>
  <c r="P13" i="10"/>
  <c r="T13" i="10" s="1"/>
  <c r="P14" i="10"/>
  <c r="T14" i="10" s="1"/>
  <c r="P17" i="10"/>
  <c r="T17" i="10" s="1"/>
  <c r="Q17" i="10" s="1"/>
  <c r="U17" i="10" s="1"/>
  <c r="V17" i="10" s="1"/>
  <c r="P18" i="10"/>
  <c r="T18" i="10" s="1"/>
  <c r="Q18" i="10" s="1"/>
  <c r="U18" i="10" s="1"/>
  <c r="V18" i="10" s="1"/>
  <c r="P21" i="10"/>
  <c r="T21" i="10" s="1"/>
  <c r="P22" i="10"/>
  <c r="T22" i="10" s="1"/>
  <c r="P25" i="10"/>
  <c r="T25" i="10" s="1"/>
  <c r="P26" i="10"/>
  <c r="T26" i="10" s="1"/>
  <c r="Q26" i="10" s="1"/>
  <c r="U26" i="10" s="1"/>
  <c r="V26" i="10" s="1"/>
  <c r="W26" i="10" s="1"/>
  <c r="P29" i="10"/>
  <c r="T29" i="10" s="1"/>
  <c r="P30" i="10"/>
  <c r="T30" i="10" s="1"/>
  <c r="P47" i="10"/>
  <c r="T47" i="10" s="1"/>
  <c r="P49" i="10"/>
  <c r="T49" i="10" s="1"/>
  <c r="P83" i="10"/>
  <c r="T83" i="10" s="1"/>
  <c r="P89" i="10"/>
  <c r="T89" i="10" s="1"/>
  <c r="P91" i="10"/>
  <c r="T91" i="10" s="1"/>
  <c r="Q91" i="10" s="1"/>
  <c r="U91" i="10" s="1"/>
  <c r="V91" i="10" s="1"/>
  <c r="P350" i="10"/>
  <c r="T350" i="10" s="1"/>
  <c r="Q350" i="10" s="1"/>
  <c r="U350" i="10" s="1"/>
  <c r="V350" i="10" s="1"/>
  <c r="P353" i="10"/>
  <c r="T353" i="10" s="1"/>
  <c r="P356" i="10"/>
  <c r="T356" i="10" s="1"/>
  <c r="P357" i="10"/>
  <c r="T357" i="10" s="1"/>
  <c r="P364" i="10"/>
  <c r="T364" i="10" s="1"/>
  <c r="Q364" i="10" s="1"/>
  <c r="U364" i="10" s="1"/>
  <c r="V364" i="10" s="1"/>
  <c r="P368" i="10"/>
  <c r="T368" i="10" s="1"/>
  <c r="T16" i="13"/>
  <c r="L17" i="13"/>
  <c r="K12" i="13"/>
  <c r="T12" i="13" s="1"/>
  <c r="K8" i="13"/>
  <c r="T8" i="13" s="1"/>
  <c r="I19" i="13"/>
  <c r="L18" i="13"/>
  <c r="K17" i="13"/>
  <c r="M15" i="13"/>
  <c r="L14" i="13"/>
  <c r="K13" i="13"/>
  <c r="M11" i="13"/>
  <c r="L10" i="13"/>
  <c r="K9" i="13"/>
  <c r="M7" i="13"/>
  <c r="L13" i="13"/>
  <c r="L9" i="13"/>
  <c r="H19" i="13"/>
  <c r="M16" i="13"/>
  <c r="L15" i="13"/>
  <c r="M12" i="13"/>
  <c r="L11" i="13"/>
  <c r="L7" i="13"/>
  <c r="O89" i="10"/>
  <c r="O98" i="10"/>
  <c r="O141" i="10"/>
  <c r="O143" i="10"/>
  <c r="O145" i="10"/>
  <c r="P35" i="10"/>
  <c r="T35" i="10" s="1"/>
  <c r="P68" i="10"/>
  <c r="T68" i="10" s="1"/>
  <c r="P85" i="10"/>
  <c r="T85" i="10" s="1"/>
  <c r="Q85" i="10" s="1"/>
  <c r="U85" i="10" s="1"/>
  <c r="V85" i="10" s="1"/>
  <c r="P87" i="10"/>
  <c r="T87" i="10" s="1"/>
  <c r="Q87" i="10" s="1"/>
  <c r="U87" i="10" s="1"/>
  <c r="V87" i="10" s="1"/>
  <c r="O95" i="10"/>
  <c r="P97" i="10"/>
  <c r="T97" i="10" s="1"/>
  <c r="P99" i="10"/>
  <c r="T99" i="10" s="1"/>
  <c r="Q99" i="10" s="1"/>
  <c r="U99" i="10" s="1"/>
  <c r="V99" i="10" s="1"/>
  <c r="O106" i="10"/>
  <c r="O108" i="10"/>
  <c r="P137" i="10"/>
  <c r="T137" i="10" s="1"/>
  <c r="P139" i="10"/>
  <c r="T139" i="10" s="1"/>
  <c r="Q139" i="10" s="1"/>
  <c r="U139" i="10" s="1"/>
  <c r="V139" i="10" s="1"/>
  <c r="P141" i="10"/>
  <c r="T141" i="10" s="1"/>
  <c r="Q141" i="10" s="1"/>
  <c r="U141" i="10" s="1"/>
  <c r="V141" i="10" s="1"/>
  <c r="W141" i="10" s="1"/>
  <c r="P143" i="10"/>
  <c r="T143" i="10" s="1"/>
  <c r="M185" i="10"/>
  <c r="M222" i="10"/>
  <c r="N259" i="10"/>
  <c r="P295" i="10"/>
  <c r="T295" i="10" s="1"/>
  <c r="P306" i="10"/>
  <c r="T306" i="10" s="1"/>
  <c r="P328" i="10"/>
  <c r="T328" i="10" s="1"/>
  <c r="P330" i="10"/>
  <c r="T330" i="10" s="1"/>
  <c r="Q330" i="10" s="1"/>
  <c r="U330" i="10" s="1"/>
  <c r="V330" i="10" s="1"/>
  <c r="P332" i="10"/>
  <c r="T332" i="10" s="1"/>
  <c r="Q332" i="10" s="1"/>
  <c r="U332" i="10" s="1"/>
  <c r="P360" i="10"/>
  <c r="T360" i="10" s="1"/>
  <c r="P362" i="10"/>
  <c r="T362" i="10" s="1"/>
  <c r="Q362" i="10" s="1"/>
  <c r="U362" i="10" s="1"/>
  <c r="P418" i="10"/>
  <c r="T418" i="10" s="1"/>
  <c r="Q418" i="10" s="1"/>
  <c r="U418" i="10" s="1"/>
  <c r="V418" i="10" s="1"/>
  <c r="P420" i="10"/>
  <c r="T420" i="10" s="1"/>
  <c r="P438" i="10"/>
  <c r="T438" i="10" s="1"/>
  <c r="O14" i="10"/>
  <c r="O18" i="10"/>
  <c r="O22" i="10"/>
  <c r="O26" i="10"/>
  <c r="O30" i="10"/>
  <c r="P34" i="10"/>
  <c r="T34" i="10" s="1"/>
  <c r="Q34" i="10" s="1"/>
  <c r="U34" i="10" s="1"/>
  <c r="V34" i="10" s="1"/>
  <c r="P45" i="10"/>
  <c r="T45" i="10" s="1"/>
  <c r="P54" i="10"/>
  <c r="T54" i="10" s="1"/>
  <c r="P56" i="10"/>
  <c r="T56" i="10" s="1"/>
  <c r="P59" i="10"/>
  <c r="T59" i="10" s="1"/>
  <c r="Q59" i="10" s="1"/>
  <c r="U59" i="10" s="1"/>
  <c r="V59" i="10" s="1"/>
  <c r="P67" i="10"/>
  <c r="T67" i="10" s="1"/>
  <c r="P69" i="10"/>
  <c r="T69" i="10" s="1"/>
  <c r="O82" i="10"/>
  <c r="P93" i="10"/>
  <c r="T93" i="10" s="1"/>
  <c r="Q93" i="10" s="1"/>
  <c r="U93" i="10" s="1"/>
  <c r="V93" i="10" s="1"/>
  <c r="W93" i="10" s="1"/>
  <c r="O103" i="10"/>
  <c r="P105" i="10"/>
  <c r="T105" i="10" s="1"/>
  <c r="P107" i="10"/>
  <c r="T107" i="10" s="1"/>
  <c r="Q107" i="10" s="1"/>
  <c r="U107" i="10" s="1"/>
  <c r="V107" i="10" s="1"/>
  <c r="P121" i="10"/>
  <c r="T121" i="10" s="1"/>
  <c r="Q121" i="10" s="1"/>
  <c r="U121" i="10" s="1"/>
  <c r="V121" i="10" s="1"/>
  <c r="W121" i="10" s="1"/>
  <c r="P290" i="10"/>
  <c r="T290" i="10" s="1"/>
  <c r="P292" i="10"/>
  <c r="T292" i="10" s="1"/>
  <c r="Q292" i="10" s="1"/>
  <c r="U292" i="10" s="1"/>
  <c r="O314" i="10"/>
  <c r="O325" i="10"/>
  <c r="M370" i="10"/>
  <c r="P345" i="10"/>
  <c r="T345" i="10" s="1"/>
  <c r="Q345" i="10" s="1"/>
  <c r="U345" i="10" s="1"/>
  <c r="P346" i="10"/>
  <c r="T346" i="10" s="1"/>
  <c r="O357" i="10"/>
  <c r="P380" i="10"/>
  <c r="T380" i="10" s="1"/>
  <c r="P382" i="10"/>
  <c r="T382" i="10" s="1"/>
  <c r="P384" i="10"/>
  <c r="T384" i="10" s="1"/>
  <c r="Q384" i="10" s="1"/>
  <c r="U384" i="10" s="1"/>
  <c r="V384" i="10" s="1"/>
  <c r="P386" i="10"/>
  <c r="T386" i="10" s="1"/>
  <c r="Q386" i="10" s="1"/>
  <c r="U386" i="10" s="1"/>
  <c r="V386" i="10" s="1"/>
  <c r="P388" i="10"/>
  <c r="T388" i="10" s="1"/>
  <c r="P390" i="10"/>
  <c r="T390" i="10" s="1"/>
  <c r="P392" i="10"/>
  <c r="T392" i="10" s="1"/>
  <c r="Q392" i="10" s="1"/>
  <c r="U392" i="10" s="1"/>
  <c r="V392" i="10" s="1"/>
  <c r="P394" i="10"/>
  <c r="T394" i="10" s="1"/>
  <c r="Q394" i="10" s="1"/>
  <c r="U394" i="10" s="1"/>
  <c r="V394" i="10" s="1"/>
  <c r="P396" i="10"/>
  <c r="T396" i="10" s="1"/>
  <c r="N444" i="10"/>
  <c r="P426" i="10"/>
  <c r="T426" i="10" s="1"/>
  <c r="Q426" i="10" s="1"/>
  <c r="U426" i="10" s="1"/>
  <c r="V426" i="10" s="1"/>
  <c r="P428" i="10"/>
  <c r="T428" i="10" s="1"/>
  <c r="Q428" i="10" s="1"/>
  <c r="U428" i="10" s="1"/>
  <c r="V428" i="10" s="1"/>
  <c r="Q8" i="12"/>
  <c r="Q7" i="12"/>
  <c r="Q37" i="12" s="1"/>
  <c r="N111" i="10"/>
  <c r="P81" i="10"/>
  <c r="K444" i="10"/>
  <c r="P414" i="10"/>
  <c r="T414" i="10" s="1"/>
  <c r="O34" i="10"/>
  <c r="M74" i="10"/>
  <c r="O81" i="10"/>
  <c r="O84" i="10"/>
  <c r="O86" i="10"/>
  <c r="O91" i="10"/>
  <c r="O105" i="10"/>
  <c r="O266" i="10"/>
  <c r="O268" i="10"/>
  <c r="O270" i="10"/>
  <c r="O272" i="10"/>
  <c r="P274" i="10"/>
  <c r="T274" i="10" s="1"/>
  <c r="O295" i="10"/>
  <c r="O305" i="10"/>
  <c r="O7" i="10"/>
  <c r="M37" i="10"/>
  <c r="P11" i="10"/>
  <c r="T11" i="10" s="1"/>
  <c r="Q11" i="10" s="1"/>
  <c r="U11" i="10" s="1"/>
  <c r="V11" i="10" s="1"/>
  <c r="O15" i="10"/>
  <c r="O19" i="10"/>
  <c r="O23" i="10"/>
  <c r="P27" i="10"/>
  <c r="T27" i="10" s="1"/>
  <c r="Q27" i="10" s="1"/>
  <c r="U27" i="10" s="1"/>
  <c r="P33" i="10"/>
  <c r="T33" i="10" s="1"/>
  <c r="N74" i="10"/>
  <c r="O45" i="10"/>
  <c r="O60" i="10"/>
  <c r="P63" i="10"/>
  <c r="T63" i="10" s="1"/>
  <c r="Q63" i="10" s="1"/>
  <c r="U63" i="10" s="1"/>
  <c r="V63" i="10" s="1"/>
  <c r="P70" i="10"/>
  <c r="T70" i="10" s="1"/>
  <c r="P72" i="10"/>
  <c r="T72" i="10" s="1"/>
  <c r="K111" i="10"/>
  <c r="M111" i="10"/>
  <c r="O83" i="10"/>
  <c r="O100" i="10"/>
  <c r="N222" i="10"/>
  <c r="N333" i="10"/>
  <c r="K37" i="10"/>
  <c r="N37" i="10"/>
  <c r="O49" i="10"/>
  <c r="P52" i="10"/>
  <c r="T52" i="10" s="1"/>
  <c r="Q52" i="10" s="1"/>
  <c r="U52" i="10" s="1"/>
  <c r="V52" i="10" s="1"/>
  <c r="P55" i="10"/>
  <c r="T55" i="10" s="1"/>
  <c r="P62" i="10"/>
  <c r="T62" i="10" s="1"/>
  <c r="P64" i="10"/>
  <c r="T64" i="10" s="1"/>
  <c r="O87" i="10"/>
  <c r="O90" i="10"/>
  <c r="O97" i="10"/>
  <c r="O129" i="10"/>
  <c r="O131" i="10"/>
  <c r="O287" i="10"/>
  <c r="O289" i="10"/>
  <c r="O310" i="10"/>
  <c r="O317" i="10"/>
  <c r="O329" i="10"/>
  <c r="O369" i="10"/>
  <c r="O94" i="10"/>
  <c r="O99" i="10"/>
  <c r="O102" i="10"/>
  <c r="O107" i="10"/>
  <c r="O110" i="10"/>
  <c r="M148" i="10"/>
  <c r="O119" i="10"/>
  <c r="O121" i="10"/>
  <c r="P129" i="10"/>
  <c r="T129" i="10" s="1"/>
  <c r="O133" i="10"/>
  <c r="O135" i="10"/>
  <c r="P147" i="10"/>
  <c r="T147" i="10" s="1"/>
  <c r="K185" i="10"/>
  <c r="P157" i="10"/>
  <c r="T157" i="10" s="1"/>
  <c r="Q157" i="10" s="1"/>
  <c r="U157" i="10" s="1"/>
  <c r="V157" i="10" s="1"/>
  <c r="P159" i="10"/>
  <c r="T159" i="10" s="1"/>
  <c r="P161" i="10"/>
  <c r="T161" i="10" s="1"/>
  <c r="P163" i="10"/>
  <c r="T163" i="10" s="1"/>
  <c r="Q163" i="10" s="1"/>
  <c r="U163" i="10" s="1"/>
  <c r="V163" i="10" s="1"/>
  <c r="P165" i="10"/>
  <c r="T165" i="10" s="1"/>
  <c r="P167" i="10"/>
  <c r="T167" i="10" s="1"/>
  <c r="P169" i="10"/>
  <c r="T169" i="10" s="1"/>
  <c r="P171" i="10"/>
  <c r="T171" i="10" s="1"/>
  <c r="Q171" i="10" s="1"/>
  <c r="U171" i="10" s="1"/>
  <c r="V171" i="10" s="1"/>
  <c r="P173" i="10"/>
  <c r="T173" i="10" s="1"/>
  <c r="Q173" i="10" s="1"/>
  <c r="U173" i="10" s="1"/>
  <c r="V173" i="10" s="1"/>
  <c r="P175" i="10"/>
  <c r="T175" i="10" s="1"/>
  <c r="P177" i="10"/>
  <c r="T177" i="10" s="1"/>
  <c r="P179" i="10"/>
  <c r="T179" i="10" s="1"/>
  <c r="Q179" i="10" s="1"/>
  <c r="U179" i="10" s="1"/>
  <c r="V179" i="10" s="1"/>
  <c r="P181" i="10"/>
  <c r="T181" i="10" s="1"/>
  <c r="Q181" i="10" s="1"/>
  <c r="U181" i="10" s="1"/>
  <c r="V181" i="10" s="1"/>
  <c r="P183" i="10"/>
  <c r="T183" i="10" s="1"/>
  <c r="M259" i="10"/>
  <c r="O230" i="10"/>
  <c r="O232" i="10"/>
  <c r="O234" i="10"/>
  <c r="O236" i="10"/>
  <c r="O238" i="10"/>
  <c r="O240" i="10"/>
  <c r="O242" i="10"/>
  <c r="O244" i="10"/>
  <c r="O246" i="10"/>
  <c r="O248" i="10"/>
  <c r="O250" i="10"/>
  <c r="O252" i="10"/>
  <c r="O254" i="10"/>
  <c r="O256" i="10"/>
  <c r="O258" i="10"/>
  <c r="O275" i="10"/>
  <c r="P276" i="10"/>
  <c r="T276" i="10" s="1"/>
  <c r="Q276" i="10" s="1"/>
  <c r="U276" i="10" s="1"/>
  <c r="V276" i="10" s="1"/>
  <c r="P280" i="10"/>
  <c r="T280" i="10" s="1"/>
  <c r="Q280" i="10" s="1"/>
  <c r="U280" i="10" s="1"/>
  <c r="V280" i="10" s="1"/>
  <c r="P289" i="10"/>
  <c r="T289" i="10" s="1"/>
  <c r="O291" i="10"/>
  <c r="O306" i="10"/>
  <c r="O309" i="10"/>
  <c r="P312" i="10"/>
  <c r="T312" i="10" s="1"/>
  <c r="O321" i="10"/>
  <c r="P324" i="10"/>
  <c r="T324" i="10" s="1"/>
  <c r="Q324" i="10" s="1"/>
  <c r="U324" i="10" s="1"/>
  <c r="O326" i="10"/>
  <c r="P341" i="10"/>
  <c r="T341" i="10" s="1"/>
  <c r="O346" i="10"/>
  <c r="P347" i="10"/>
  <c r="T347" i="10" s="1"/>
  <c r="Q347" i="10" s="1"/>
  <c r="U347" i="10" s="1"/>
  <c r="V347" i="10" s="1"/>
  <c r="P349" i="10"/>
  <c r="T349" i="10" s="1"/>
  <c r="Q349" i="10" s="1"/>
  <c r="U349" i="10" s="1"/>
  <c r="V349" i="10" s="1"/>
  <c r="P354" i="10"/>
  <c r="T354" i="10" s="1"/>
  <c r="O361" i="10"/>
  <c r="P366" i="10"/>
  <c r="T366" i="10" s="1"/>
  <c r="Q366" i="10" s="1"/>
  <c r="U366" i="10" s="1"/>
  <c r="P369" i="10"/>
  <c r="T369" i="10" s="1"/>
  <c r="Q369" i="10" s="1"/>
  <c r="U369" i="10" s="1"/>
  <c r="V369" i="10" s="1"/>
  <c r="W369" i="10" s="1"/>
  <c r="O10" i="10"/>
  <c r="P31" i="10"/>
  <c r="T31" i="10" s="1"/>
  <c r="Q31" i="10" s="1"/>
  <c r="U31" i="10" s="1"/>
  <c r="O47" i="10"/>
  <c r="P50" i="10"/>
  <c r="T50" i="10" s="1"/>
  <c r="Q50" i="10" s="1"/>
  <c r="U50" i="10" s="1"/>
  <c r="V50" i="10" s="1"/>
  <c r="P58" i="10"/>
  <c r="T58" i="10" s="1"/>
  <c r="P66" i="10"/>
  <c r="T66" i="10" s="1"/>
  <c r="O85" i="10"/>
  <c r="O88" i="10"/>
  <c r="O93" i="10"/>
  <c r="O96" i="10"/>
  <c r="O101" i="10"/>
  <c r="O104" i="10"/>
  <c r="O109" i="10"/>
  <c r="N148" i="10"/>
  <c r="P119" i="10"/>
  <c r="T119" i="10" s="1"/>
  <c r="Q119" i="10" s="1"/>
  <c r="U119" i="10" s="1"/>
  <c r="V119" i="10" s="1"/>
  <c r="W119" i="10" s="1"/>
  <c r="O123" i="10"/>
  <c r="P133" i="10"/>
  <c r="T133" i="10" s="1"/>
  <c r="O137" i="10"/>
  <c r="O139" i="10"/>
  <c r="O146" i="10"/>
  <c r="P230" i="10"/>
  <c r="T230" i="10" s="1"/>
  <c r="P232" i="10"/>
  <c r="T232" i="10" s="1"/>
  <c r="Q232" i="10" s="1"/>
  <c r="U232" i="10" s="1"/>
  <c r="V232" i="10" s="1"/>
  <c r="P234" i="10"/>
  <c r="T234" i="10" s="1"/>
  <c r="Q234" i="10" s="1"/>
  <c r="U234" i="10" s="1"/>
  <c r="V234" i="10" s="1"/>
  <c r="W234" i="10" s="1"/>
  <c r="P236" i="10"/>
  <c r="T236" i="10" s="1"/>
  <c r="Q236" i="10" s="1"/>
  <c r="U236" i="10" s="1"/>
  <c r="V236" i="10" s="1"/>
  <c r="W236" i="10" s="1"/>
  <c r="P238" i="10"/>
  <c r="T238" i="10" s="1"/>
  <c r="P240" i="10"/>
  <c r="T240" i="10" s="1"/>
  <c r="P242" i="10"/>
  <c r="T242" i="10" s="1"/>
  <c r="Q242" i="10" s="1"/>
  <c r="U242" i="10" s="1"/>
  <c r="V242" i="10" s="1"/>
  <c r="W242" i="10" s="1"/>
  <c r="P244" i="10"/>
  <c r="T244" i="10" s="1"/>
  <c r="Q244" i="10" s="1"/>
  <c r="U244" i="10" s="1"/>
  <c r="V244" i="10" s="1"/>
  <c r="W244" i="10" s="1"/>
  <c r="P246" i="10"/>
  <c r="T246" i="10" s="1"/>
  <c r="P248" i="10"/>
  <c r="T248" i="10" s="1"/>
  <c r="Q248" i="10" s="1"/>
  <c r="U248" i="10" s="1"/>
  <c r="P250" i="10"/>
  <c r="T250" i="10" s="1"/>
  <c r="Q250" i="10" s="1"/>
  <c r="U250" i="10" s="1"/>
  <c r="V250" i="10" s="1"/>
  <c r="W250" i="10" s="1"/>
  <c r="P252" i="10"/>
  <c r="T252" i="10" s="1"/>
  <c r="Q252" i="10" s="1"/>
  <c r="U252" i="10" s="1"/>
  <c r="V252" i="10" s="1"/>
  <c r="W252" i="10" s="1"/>
  <c r="P254" i="10"/>
  <c r="T254" i="10" s="1"/>
  <c r="P256" i="10"/>
  <c r="T256" i="10" s="1"/>
  <c r="Q256" i="10" s="1"/>
  <c r="U256" i="10" s="1"/>
  <c r="P258" i="10"/>
  <c r="T258" i="10" s="1"/>
  <c r="Q258" i="10" s="1"/>
  <c r="U258" i="10" s="1"/>
  <c r="V258" i="10" s="1"/>
  <c r="W258" i="10" s="1"/>
  <c r="P267" i="10"/>
  <c r="T267" i="10" s="1"/>
  <c r="Q267" i="10" s="1"/>
  <c r="U267" i="10" s="1"/>
  <c r="P269" i="10"/>
  <c r="T269" i="10" s="1"/>
  <c r="Q269" i="10" s="1"/>
  <c r="U269" i="10" s="1"/>
  <c r="P271" i="10"/>
  <c r="T271" i="10" s="1"/>
  <c r="Q271" i="10" s="1"/>
  <c r="U271" i="10" s="1"/>
  <c r="P273" i="10"/>
  <c r="T273" i="10" s="1"/>
  <c r="O279" i="10"/>
  <c r="O281" i="10"/>
  <c r="P284" i="10"/>
  <c r="T284" i="10" s="1"/>
  <c r="P291" i="10"/>
  <c r="T291" i="10" s="1"/>
  <c r="Q291" i="10" s="1"/>
  <c r="U291" i="10" s="1"/>
  <c r="V291" i="10" s="1"/>
  <c r="W291" i="10" s="1"/>
  <c r="O293" i="10"/>
  <c r="O313" i="10"/>
  <c r="P316" i="10"/>
  <c r="T316" i="10" s="1"/>
  <c r="Q316" i="10" s="1"/>
  <c r="U316" i="10" s="1"/>
  <c r="O318" i="10"/>
  <c r="O330" i="10"/>
  <c r="O342" i="10"/>
  <c r="P343" i="10"/>
  <c r="T343" i="10" s="1"/>
  <c r="Q343" i="10" s="1"/>
  <c r="U343" i="10" s="1"/>
  <c r="V343" i="10" s="1"/>
  <c r="O353" i="10"/>
  <c r="P358" i="10"/>
  <c r="T358" i="10" s="1"/>
  <c r="P361" i="10"/>
  <c r="T361" i="10" s="1"/>
  <c r="P365" i="10"/>
  <c r="T365" i="10" s="1"/>
  <c r="Q30" i="10"/>
  <c r="U30" i="10" s="1"/>
  <c r="V30" i="10" s="1"/>
  <c r="W30" i="10" s="1"/>
  <c r="Q49" i="10"/>
  <c r="U49" i="10" s="1"/>
  <c r="V49" i="10" s="1"/>
  <c r="Q73" i="10"/>
  <c r="U73" i="10" s="1"/>
  <c r="V73" i="10" s="1"/>
  <c r="Q196" i="10"/>
  <c r="U196" i="10" s="1"/>
  <c r="V196" i="10" s="1"/>
  <c r="Q200" i="10"/>
  <c r="U200" i="10" s="1"/>
  <c r="V200" i="10" s="1"/>
  <c r="Q204" i="10"/>
  <c r="U204" i="10" s="1"/>
  <c r="V204" i="10" s="1"/>
  <c r="Q208" i="10"/>
  <c r="U208" i="10" s="1"/>
  <c r="V208" i="10" s="1"/>
  <c r="Q210" i="10"/>
  <c r="U210" i="10" s="1"/>
  <c r="V210" i="10" s="1"/>
  <c r="Q216" i="10"/>
  <c r="U216" i="10" s="1"/>
  <c r="V216" i="10" s="1"/>
  <c r="Q220" i="10"/>
  <c r="U220" i="10" s="1"/>
  <c r="V220" i="10" s="1"/>
  <c r="Q14" i="10"/>
  <c r="U14" i="10" s="1"/>
  <c r="V14" i="10" s="1"/>
  <c r="Q22" i="10"/>
  <c r="U22" i="10" s="1"/>
  <c r="V22" i="10" s="1"/>
  <c r="W22" i="10" s="1"/>
  <c r="Q25" i="10"/>
  <c r="U25" i="10" s="1"/>
  <c r="V25" i="10" s="1"/>
  <c r="Q33" i="10"/>
  <c r="U33" i="10" s="1"/>
  <c r="V33" i="10" s="1"/>
  <c r="Q45" i="10"/>
  <c r="U45" i="10" s="1"/>
  <c r="V45" i="10" s="1"/>
  <c r="Q53" i="10"/>
  <c r="U53" i="10" s="1"/>
  <c r="V53" i="10" s="1"/>
  <c r="Q61" i="10"/>
  <c r="U61" i="10" s="1"/>
  <c r="V61" i="10" s="1"/>
  <c r="Q69" i="10"/>
  <c r="U69" i="10" s="1"/>
  <c r="V69" i="10" s="1"/>
  <c r="Q341" i="10"/>
  <c r="U341" i="10" s="1"/>
  <c r="V341" i="10" s="1"/>
  <c r="Q9" i="10"/>
  <c r="U9" i="10" s="1"/>
  <c r="V9" i="10" s="1"/>
  <c r="Q57" i="10"/>
  <c r="U57" i="10" s="1"/>
  <c r="V57" i="10" s="1"/>
  <c r="Q65" i="10"/>
  <c r="U65" i="10" s="1"/>
  <c r="V65" i="10" s="1"/>
  <c r="Q194" i="10"/>
  <c r="U194" i="10" s="1"/>
  <c r="V194" i="10" s="1"/>
  <c r="Q202" i="10"/>
  <c r="U202" i="10" s="1"/>
  <c r="V202" i="10" s="1"/>
  <c r="Q206" i="10"/>
  <c r="U206" i="10" s="1"/>
  <c r="V206" i="10" s="1"/>
  <c r="Q212" i="10"/>
  <c r="U212" i="10" s="1"/>
  <c r="V212" i="10" s="1"/>
  <c r="Q218" i="10"/>
  <c r="U218" i="10" s="1"/>
  <c r="V218" i="10" s="1"/>
  <c r="Q13" i="10"/>
  <c r="U13" i="10" s="1"/>
  <c r="V13" i="10" s="1"/>
  <c r="Q21" i="10"/>
  <c r="U21" i="10" s="1"/>
  <c r="V21" i="10" s="1"/>
  <c r="Q29" i="10"/>
  <c r="U29" i="10" s="1"/>
  <c r="V29" i="10" s="1"/>
  <c r="Q51" i="10"/>
  <c r="U51" i="10" s="1"/>
  <c r="V51" i="10" s="1"/>
  <c r="Q67" i="10"/>
  <c r="U67" i="10" s="1"/>
  <c r="V67" i="10" s="1"/>
  <c r="Q35" i="10"/>
  <c r="U35" i="10" s="1"/>
  <c r="V35" i="10" s="1"/>
  <c r="Q47" i="10"/>
  <c r="U47" i="10" s="1"/>
  <c r="V47" i="10" s="1"/>
  <c r="Q55" i="10"/>
  <c r="U55" i="10" s="1"/>
  <c r="V55" i="10" s="1"/>
  <c r="Q71" i="10"/>
  <c r="U71" i="10" s="1"/>
  <c r="V71" i="10" s="1"/>
  <c r="O11" i="10"/>
  <c r="O27" i="10"/>
  <c r="O35" i="10"/>
  <c r="J37" i="10"/>
  <c r="O50" i="10"/>
  <c r="O52" i="10"/>
  <c r="O54" i="10"/>
  <c r="O56" i="10"/>
  <c r="O58" i="10"/>
  <c r="O64" i="10"/>
  <c r="O66" i="10"/>
  <c r="O68" i="10"/>
  <c r="O70" i="10"/>
  <c r="O72" i="10"/>
  <c r="P122" i="10"/>
  <c r="T122" i="10" s="1"/>
  <c r="O122" i="10"/>
  <c r="P124" i="10"/>
  <c r="T124" i="10" s="1"/>
  <c r="Q124" i="10" s="1"/>
  <c r="U124" i="10" s="1"/>
  <c r="O124" i="10"/>
  <c r="P126" i="10"/>
  <c r="T126" i="10" s="1"/>
  <c r="O126" i="10"/>
  <c r="P128" i="10"/>
  <c r="T128" i="10" s="1"/>
  <c r="Q128" i="10" s="1"/>
  <c r="U128" i="10" s="1"/>
  <c r="O128" i="10"/>
  <c r="P134" i="10"/>
  <c r="T134" i="10" s="1"/>
  <c r="O134" i="10"/>
  <c r="P136" i="10"/>
  <c r="T136" i="10" s="1"/>
  <c r="Q136" i="10" s="1"/>
  <c r="U136" i="10" s="1"/>
  <c r="O136" i="10"/>
  <c r="P138" i="10"/>
  <c r="T138" i="10" s="1"/>
  <c r="O138" i="10"/>
  <c r="P140" i="10"/>
  <c r="T140" i="10" s="1"/>
  <c r="Q140" i="10" s="1"/>
  <c r="U140" i="10" s="1"/>
  <c r="O140" i="10"/>
  <c r="P144" i="10"/>
  <c r="T144" i="10" s="1"/>
  <c r="Q144" i="10" s="1"/>
  <c r="U144" i="10" s="1"/>
  <c r="O144" i="10"/>
  <c r="O282" i="10"/>
  <c r="P282" i="10"/>
  <c r="T282" i="10" s="1"/>
  <c r="O283" i="10"/>
  <c r="P7" i="10"/>
  <c r="O12" i="10"/>
  <c r="P15" i="10"/>
  <c r="T15" i="10" s="1"/>
  <c r="Q15" i="10" s="1"/>
  <c r="U15" i="10" s="1"/>
  <c r="P19" i="10"/>
  <c r="T19" i="10" s="1"/>
  <c r="P23" i="10"/>
  <c r="T23" i="10" s="1"/>
  <c r="O28" i="10"/>
  <c r="O32" i="10"/>
  <c r="J74" i="10"/>
  <c r="O46" i="10"/>
  <c r="O48" i="10"/>
  <c r="P60" i="10"/>
  <c r="T60" i="10" s="1"/>
  <c r="P158" i="10"/>
  <c r="T158" i="10" s="1"/>
  <c r="O158" i="10"/>
  <c r="P160" i="10"/>
  <c r="T160" i="10" s="1"/>
  <c r="Q160" i="10" s="1"/>
  <c r="U160" i="10" s="1"/>
  <c r="O160" i="10"/>
  <c r="P162" i="10"/>
  <c r="T162" i="10" s="1"/>
  <c r="Q162" i="10" s="1"/>
  <c r="U162" i="10" s="1"/>
  <c r="O162" i="10"/>
  <c r="P168" i="10"/>
  <c r="T168" i="10" s="1"/>
  <c r="O168" i="10"/>
  <c r="P170" i="10"/>
  <c r="T170" i="10" s="1"/>
  <c r="O170" i="10"/>
  <c r="P174" i="10"/>
  <c r="T174" i="10" s="1"/>
  <c r="O174" i="10"/>
  <c r="P180" i="10"/>
  <c r="T180" i="10" s="1"/>
  <c r="Q180" i="10" s="1"/>
  <c r="U180" i="10" s="1"/>
  <c r="O180" i="10"/>
  <c r="P182" i="10"/>
  <c r="T182" i="10" s="1"/>
  <c r="Q182" i="10" s="1"/>
  <c r="U182" i="10" s="1"/>
  <c r="O182" i="10"/>
  <c r="P184" i="10"/>
  <c r="T184" i="10" s="1"/>
  <c r="Q184" i="10" s="1"/>
  <c r="U184" i="10" s="1"/>
  <c r="O184" i="10"/>
  <c r="Q326" i="10"/>
  <c r="U326" i="10" s="1"/>
  <c r="V326" i="10" s="1"/>
  <c r="P359" i="10"/>
  <c r="T359" i="10" s="1"/>
  <c r="O359" i="10"/>
  <c r="P8" i="10"/>
  <c r="T8" i="10" s="1"/>
  <c r="Q8" i="10" s="1"/>
  <c r="U8" i="10" s="1"/>
  <c r="O9" i="10"/>
  <c r="P12" i="10"/>
  <c r="T12" i="10" s="1"/>
  <c r="Q12" i="10" s="1"/>
  <c r="U12" i="10" s="1"/>
  <c r="O13" i="10"/>
  <c r="P16" i="10"/>
  <c r="T16" i="10" s="1"/>
  <c r="O17" i="10"/>
  <c r="P20" i="10"/>
  <c r="T20" i="10" s="1"/>
  <c r="Q20" i="10" s="1"/>
  <c r="U20" i="10" s="1"/>
  <c r="O21" i="10"/>
  <c r="P24" i="10"/>
  <c r="T24" i="10" s="1"/>
  <c r="O25" i="10"/>
  <c r="P28" i="10"/>
  <c r="T28" i="10" s="1"/>
  <c r="Q28" i="10" s="1"/>
  <c r="U28" i="10" s="1"/>
  <c r="O29" i="10"/>
  <c r="P32" i="10"/>
  <c r="T32" i="10" s="1"/>
  <c r="Q32" i="10" s="1"/>
  <c r="U32" i="10" s="1"/>
  <c r="O33" i="10"/>
  <c r="P36" i="10"/>
  <c r="T36" i="10" s="1"/>
  <c r="K74" i="10"/>
  <c r="P44" i="10"/>
  <c r="P46" i="10"/>
  <c r="T46" i="10" s="1"/>
  <c r="Q46" i="10" s="1"/>
  <c r="U46" i="10" s="1"/>
  <c r="P48" i="10"/>
  <c r="T48" i="10" s="1"/>
  <c r="Q48" i="10" s="1"/>
  <c r="U48" i="10" s="1"/>
  <c r="P82" i="10"/>
  <c r="T82" i="10" s="1"/>
  <c r="Q82" i="10" s="1"/>
  <c r="U82" i="10" s="1"/>
  <c r="Q83" i="10"/>
  <c r="U83" i="10" s="1"/>
  <c r="V83" i="10" s="1"/>
  <c r="W83" i="10" s="1"/>
  <c r="P84" i="10"/>
  <c r="T84" i="10" s="1"/>
  <c r="P86" i="10"/>
  <c r="T86" i="10" s="1"/>
  <c r="Q86" i="10" s="1"/>
  <c r="U86" i="10" s="1"/>
  <c r="P88" i="10"/>
  <c r="T88" i="10" s="1"/>
  <c r="Q89" i="10"/>
  <c r="U89" i="10" s="1"/>
  <c r="V89" i="10" s="1"/>
  <c r="P90" i="10"/>
  <c r="T90" i="10" s="1"/>
  <c r="P92" i="10"/>
  <c r="T92" i="10" s="1"/>
  <c r="P94" i="10"/>
  <c r="T94" i="10" s="1"/>
  <c r="Q94" i="10" s="1"/>
  <c r="U94" i="10" s="1"/>
  <c r="Q95" i="10"/>
  <c r="U95" i="10" s="1"/>
  <c r="V95" i="10" s="1"/>
  <c r="W95" i="10" s="1"/>
  <c r="P96" i="10"/>
  <c r="T96" i="10" s="1"/>
  <c r="Q97" i="10"/>
  <c r="U97" i="10" s="1"/>
  <c r="V97" i="10" s="1"/>
  <c r="W97" i="10" s="1"/>
  <c r="P98" i="10"/>
  <c r="T98" i="10" s="1"/>
  <c r="Q98" i="10" s="1"/>
  <c r="U98" i="10" s="1"/>
  <c r="P100" i="10"/>
  <c r="T100" i="10" s="1"/>
  <c r="Q101" i="10"/>
  <c r="U101" i="10" s="1"/>
  <c r="V101" i="10" s="1"/>
  <c r="P102" i="10"/>
  <c r="T102" i="10" s="1"/>
  <c r="Q102" i="10" s="1"/>
  <c r="U102" i="10" s="1"/>
  <c r="Q103" i="10"/>
  <c r="U103" i="10" s="1"/>
  <c r="V103" i="10" s="1"/>
  <c r="W103" i="10" s="1"/>
  <c r="P104" i="10"/>
  <c r="T104" i="10" s="1"/>
  <c r="Q105" i="10"/>
  <c r="U105" i="10" s="1"/>
  <c r="V105" i="10" s="1"/>
  <c r="W105" i="10" s="1"/>
  <c r="P106" i="10"/>
  <c r="T106" i="10" s="1"/>
  <c r="P108" i="10"/>
  <c r="T108" i="10" s="1"/>
  <c r="Q109" i="10"/>
  <c r="U109" i="10" s="1"/>
  <c r="V109" i="10" s="1"/>
  <c r="W109" i="10" s="1"/>
  <c r="P110" i="10"/>
  <c r="T110" i="10" s="1"/>
  <c r="Q110" i="10" s="1"/>
  <c r="U110" i="10" s="1"/>
  <c r="J111" i="10"/>
  <c r="K148" i="10"/>
  <c r="Q123" i="10"/>
  <c r="U123" i="10" s="1"/>
  <c r="V123" i="10" s="1"/>
  <c r="Q125" i="10"/>
  <c r="U125" i="10" s="1"/>
  <c r="V125" i="10" s="1"/>
  <c r="Q127" i="10"/>
  <c r="U127" i="10" s="1"/>
  <c r="V127" i="10" s="1"/>
  <c r="W127" i="10" s="1"/>
  <c r="Q131" i="10"/>
  <c r="U131" i="10" s="1"/>
  <c r="V131" i="10" s="1"/>
  <c r="Q133" i="10"/>
  <c r="U133" i="10" s="1"/>
  <c r="V133" i="10" s="1"/>
  <c r="Q135" i="10"/>
  <c r="U135" i="10" s="1"/>
  <c r="V135" i="10" s="1"/>
  <c r="W135" i="10" s="1"/>
  <c r="Q137" i="10"/>
  <c r="U137" i="10" s="1"/>
  <c r="V137" i="10" s="1"/>
  <c r="W137" i="10" s="1"/>
  <c r="Q143" i="10"/>
  <c r="U143" i="10" s="1"/>
  <c r="V143" i="10" s="1"/>
  <c r="P155" i="10"/>
  <c r="O157" i="10"/>
  <c r="Q158" i="10"/>
  <c r="U158" i="10" s="1"/>
  <c r="O159" i="10"/>
  <c r="O161" i="10"/>
  <c r="O163" i="10"/>
  <c r="O165" i="10"/>
  <c r="O167" i="10"/>
  <c r="O169" i="10"/>
  <c r="Q170" i="10"/>
  <c r="U170" i="10" s="1"/>
  <c r="O171" i="10"/>
  <c r="O173" i="10"/>
  <c r="O175" i="10"/>
  <c r="O177" i="10"/>
  <c r="O179" i="10"/>
  <c r="O181" i="10"/>
  <c r="O183" i="10"/>
  <c r="P193" i="10"/>
  <c r="T193" i="10" s="1"/>
  <c r="O193" i="10"/>
  <c r="P195" i="10"/>
  <c r="T195" i="10" s="1"/>
  <c r="Q195" i="10" s="1"/>
  <c r="U195" i="10" s="1"/>
  <c r="O195" i="10"/>
  <c r="P197" i="10"/>
  <c r="T197" i="10" s="1"/>
  <c r="O197" i="10"/>
  <c r="P199" i="10"/>
  <c r="T199" i="10" s="1"/>
  <c r="Q199" i="10" s="1"/>
  <c r="U199" i="10" s="1"/>
  <c r="O199" i="10"/>
  <c r="P201" i="10"/>
  <c r="T201" i="10" s="1"/>
  <c r="Q201" i="10" s="1"/>
  <c r="U201" i="10" s="1"/>
  <c r="O201" i="10"/>
  <c r="P203" i="10"/>
  <c r="T203" i="10" s="1"/>
  <c r="O203" i="10"/>
  <c r="P205" i="10"/>
  <c r="T205" i="10" s="1"/>
  <c r="O205" i="10"/>
  <c r="P207" i="10"/>
  <c r="T207" i="10" s="1"/>
  <c r="Q207" i="10" s="1"/>
  <c r="U207" i="10" s="1"/>
  <c r="O207" i="10"/>
  <c r="P209" i="10"/>
  <c r="T209" i="10" s="1"/>
  <c r="O209" i="10"/>
  <c r="P211" i="10"/>
  <c r="T211" i="10" s="1"/>
  <c r="Q211" i="10" s="1"/>
  <c r="U211" i="10" s="1"/>
  <c r="O211" i="10"/>
  <c r="P213" i="10"/>
  <c r="T213" i="10" s="1"/>
  <c r="O213" i="10"/>
  <c r="P215" i="10"/>
  <c r="T215" i="10" s="1"/>
  <c r="Q215" i="10" s="1"/>
  <c r="U215" i="10" s="1"/>
  <c r="O215" i="10"/>
  <c r="P217" i="10"/>
  <c r="T217" i="10" s="1"/>
  <c r="O217" i="10"/>
  <c r="P219" i="10"/>
  <c r="T219" i="10" s="1"/>
  <c r="O219" i="10"/>
  <c r="P221" i="10"/>
  <c r="T221" i="10" s="1"/>
  <c r="O221" i="10"/>
  <c r="Q230" i="10"/>
  <c r="U230" i="10" s="1"/>
  <c r="V230" i="10" s="1"/>
  <c r="Q238" i="10"/>
  <c r="U238" i="10" s="1"/>
  <c r="V238" i="10" s="1"/>
  <c r="Q246" i="10"/>
  <c r="U246" i="10" s="1"/>
  <c r="V246" i="10" s="1"/>
  <c r="Q254" i="10"/>
  <c r="U254" i="10" s="1"/>
  <c r="V254" i="10" s="1"/>
  <c r="V269" i="10"/>
  <c r="Q312" i="10"/>
  <c r="U312" i="10" s="1"/>
  <c r="V312" i="10" s="1"/>
  <c r="V345" i="10"/>
  <c r="O31" i="10"/>
  <c r="O62" i="10"/>
  <c r="H74" i="10"/>
  <c r="P118" i="10"/>
  <c r="O118" i="10"/>
  <c r="P120" i="10"/>
  <c r="T120" i="10" s="1"/>
  <c r="O120" i="10"/>
  <c r="P130" i="10"/>
  <c r="T130" i="10" s="1"/>
  <c r="Q130" i="10" s="1"/>
  <c r="U130" i="10" s="1"/>
  <c r="O130" i="10"/>
  <c r="P132" i="10"/>
  <c r="T132" i="10" s="1"/>
  <c r="O132" i="10"/>
  <c r="P142" i="10"/>
  <c r="T142" i="10" s="1"/>
  <c r="Q142" i="10" s="1"/>
  <c r="U142" i="10" s="1"/>
  <c r="O142" i="10"/>
  <c r="Q284" i="10"/>
  <c r="U284" i="10" s="1"/>
  <c r="V284" i="10" s="1"/>
  <c r="V292" i="10"/>
  <c r="Q328" i="10"/>
  <c r="U328" i="10" s="1"/>
  <c r="V328" i="10" s="1"/>
  <c r="K370" i="10"/>
  <c r="P340" i="10"/>
  <c r="O8" i="10"/>
  <c r="O16" i="10"/>
  <c r="O20" i="10"/>
  <c r="O24" i="10"/>
  <c r="O36" i="10"/>
  <c r="O44" i="10"/>
  <c r="T81" i="10"/>
  <c r="H148" i="10"/>
  <c r="P156" i="10"/>
  <c r="T156" i="10" s="1"/>
  <c r="O156" i="10"/>
  <c r="H185" i="10"/>
  <c r="P164" i="10"/>
  <c r="T164" i="10" s="1"/>
  <c r="Q164" i="10" s="1"/>
  <c r="U164" i="10" s="1"/>
  <c r="O164" i="10"/>
  <c r="P166" i="10"/>
  <c r="T166" i="10" s="1"/>
  <c r="Q166" i="10" s="1"/>
  <c r="U166" i="10" s="1"/>
  <c r="O166" i="10"/>
  <c r="P172" i="10"/>
  <c r="T172" i="10" s="1"/>
  <c r="Q172" i="10" s="1"/>
  <c r="U172" i="10" s="1"/>
  <c r="O172" i="10"/>
  <c r="P176" i="10"/>
  <c r="T176" i="10" s="1"/>
  <c r="O176" i="10"/>
  <c r="P178" i="10"/>
  <c r="T178" i="10" s="1"/>
  <c r="O178" i="10"/>
  <c r="N296" i="10"/>
  <c r="P275" i="10"/>
  <c r="T275" i="10" s="1"/>
  <c r="Q275" i="10" s="1"/>
  <c r="U275" i="10" s="1"/>
  <c r="Q288" i="10"/>
  <c r="U288" i="10" s="1"/>
  <c r="V288" i="10" s="1"/>
  <c r="Q290" i="10"/>
  <c r="U290" i="10" s="1"/>
  <c r="V290" i="10" s="1"/>
  <c r="Q320" i="10"/>
  <c r="U320" i="10" s="1"/>
  <c r="V320" i="10" s="1"/>
  <c r="P351" i="10"/>
  <c r="T351" i="10" s="1"/>
  <c r="O351" i="10"/>
  <c r="O51" i="10"/>
  <c r="O53" i="10"/>
  <c r="Q54" i="10"/>
  <c r="U54" i="10" s="1"/>
  <c r="V54" i="10" s="1"/>
  <c r="O55" i="10"/>
  <c r="Q56" i="10"/>
  <c r="U56" i="10" s="1"/>
  <c r="V56" i="10" s="1"/>
  <c r="O57" i="10"/>
  <c r="Q58" i="10"/>
  <c r="U58" i="10" s="1"/>
  <c r="V58" i="10" s="1"/>
  <c r="O59" i="10"/>
  <c r="Q60" i="10"/>
  <c r="U60" i="10" s="1"/>
  <c r="O61" i="10"/>
  <c r="Q62" i="10"/>
  <c r="U62" i="10" s="1"/>
  <c r="V62" i="10" s="1"/>
  <c r="O63" i="10"/>
  <c r="Q64" i="10"/>
  <c r="U64" i="10" s="1"/>
  <c r="V64" i="10" s="1"/>
  <c r="O65" i="10"/>
  <c r="O67" i="10"/>
  <c r="Q68" i="10"/>
  <c r="U68" i="10" s="1"/>
  <c r="V68" i="10" s="1"/>
  <c r="O69" i="10"/>
  <c r="Q70" i="10"/>
  <c r="U70" i="10" s="1"/>
  <c r="V70" i="10" s="1"/>
  <c r="O71" i="10"/>
  <c r="Q72" i="10"/>
  <c r="U72" i="10" s="1"/>
  <c r="V72" i="10" s="1"/>
  <c r="O73" i="10"/>
  <c r="Q147" i="10"/>
  <c r="U147" i="10" s="1"/>
  <c r="V147" i="10" s="1"/>
  <c r="O147" i="10"/>
  <c r="O192" i="10"/>
  <c r="P192" i="10"/>
  <c r="O194" i="10"/>
  <c r="O196" i="10"/>
  <c r="O198" i="10"/>
  <c r="O200" i="10"/>
  <c r="O202" i="10"/>
  <c r="O204" i="10"/>
  <c r="O206" i="10"/>
  <c r="O208" i="10"/>
  <c r="O210" i="10"/>
  <c r="O212" i="10"/>
  <c r="O214" i="10"/>
  <c r="O216" i="10"/>
  <c r="O218" i="10"/>
  <c r="O220" i="10"/>
  <c r="P283" i="10"/>
  <c r="T283" i="10" s="1"/>
  <c r="K333" i="10"/>
  <c r="P304" i="10"/>
  <c r="T304" i="10" s="1"/>
  <c r="Q310" i="10"/>
  <c r="U310" i="10" s="1"/>
  <c r="V310" i="10" s="1"/>
  <c r="O352" i="10"/>
  <c r="Q352" i="10"/>
  <c r="U352" i="10" s="1"/>
  <c r="V352" i="10" s="1"/>
  <c r="Q354" i="10"/>
  <c r="U354" i="10" s="1"/>
  <c r="V354" i="10" s="1"/>
  <c r="O365" i="10"/>
  <c r="K407" i="10"/>
  <c r="P378" i="10"/>
  <c r="T378" i="10" s="1"/>
  <c r="Q378" i="10" s="1"/>
  <c r="U378" i="10" s="1"/>
  <c r="N185" i="10"/>
  <c r="Q159" i="10"/>
  <c r="U159" i="10" s="1"/>
  <c r="V159" i="10" s="1"/>
  <c r="Q161" i="10"/>
  <c r="U161" i="10" s="1"/>
  <c r="V161" i="10" s="1"/>
  <c r="Q165" i="10"/>
  <c r="U165" i="10" s="1"/>
  <c r="V165" i="10" s="1"/>
  <c r="Q167" i="10"/>
  <c r="U167" i="10" s="1"/>
  <c r="V167" i="10" s="1"/>
  <c r="Q169" i="10"/>
  <c r="U169" i="10" s="1"/>
  <c r="V169" i="10" s="1"/>
  <c r="Q175" i="10"/>
  <c r="U175" i="10" s="1"/>
  <c r="V175" i="10" s="1"/>
  <c r="Q177" i="10"/>
  <c r="U177" i="10" s="1"/>
  <c r="V177" i="10" s="1"/>
  <c r="Q183" i="10"/>
  <c r="U183" i="10" s="1"/>
  <c r="V183" i="10" s="1"/>
  <c r="K259" i="10"/>
  <c r="M296" i="10"/>
  <c r="O267" i="10"/>
  <c r="O269" i="10"/>
  <c r="O271" i="10"/>
  <c r="O273" i="10"/>
  <c r="O278" i="10"/>
  <c r="P278" i="10"/>
  <c r="T278" i="10" s="1"/>
  <c r="P279" i="10"/>
  <c r="T279" i="10" s="1"/>
  <c r="Q279" i="10" s="1"/>
  <c r="U279" i="10" s="1"/>
  <c r="O286" i="10"/>
  <c r="P286" i="10"/>
  <c r="T286" i="10" s="1"/>
  <c r="P287" i="10"/>
  <c r="T287" i="10" s="1"/>
  <c r="Q287" i="10" s="1"/>
  <c r="U287" i="10" s="1"/>
  <c r="M333" i="10"/>
  <c r="V308" i="10"/>
  <c r="V316" i="10"/>
  <c r="V332" i="10"/>
  <c r="O368" i="10"/>
  <c r="Q368" i="10"/>
  <c r="U368" i="10" s="1"/>
  <c r="V368" i="10" s="1"/>
  <c r="P146" i="10"/>
  <c r="T146" i="10" s="1"/>
  <c r="Q146" i="10" s="1"/>
  <c r="U146" i="10" s="1"/>
  <c r="O155" i="10"/>
  <c r="H222" i="10"/>
  <c r="P229" i="10"/>
  <c r="H259" i="10"/>
  <c r="O229" i="10"/>
  <c r="P231" i="10"/>
  <c r="T231" i="10" s="1"/>
  <c r="O231" i="10"/>
  <c r="P233" i="10"/>
  <c r="T233" i="10" s="1"/>
  <c r="O233" i="10"/>
  <c r="P235" i="10"/>
  <c r="T235" i="10" s="1"/>
  <c r="O235" i="10"/>
  <c r="P237" i="10"/>
  <c r="T237" i="10" s="1"/>
  <c r="O237" i="10"/>
  <c r="P239" i="10"/>
  <c r="T239" i="10" s="1"/>
  <c r="O239" i="10"/>
  <c r="P241" i="10"/>
  <c r="T241" i="10" s="1"/>
  <c r="O241" i="10"/>
  <c r="P243" i="10"/>
  <c r="T243" i="10" s="1"/>
  <c r="O243" i="10"/>
  <c r="P245" i="10"/>
  <c r="T245" i="10" s="1"/>
  <c r="O245" i="10"/>
  <c r="P247" i="10"/>
  <c r="T247" i="10" s="1"/>
  <c r="O247" i="10"/>
  <c r="P249" i="10"/>
  <c r="T249" i="10" s="1"/>
  <c r="O249" i="10"/>
  <c r="P251" i="10"/>
  <c r="T251" i="10" s="1"/>
  <c r="O251" i="10"/>
  <c r="P253" i="10"/>
  <c r="T253" i="10" s="1"/>
  <c r="O253" i="10"/>
  <c r="P255" i="10"/>
  <c r="T255" i="10" s="1"/>
  <c r="O255" i="10"/>
  <c r="P257" i="10"/>
  <c r="T257" i="10" s="1"/>
  <c r="O257" i="10"/>
  <c r="H296" i="10"/>
  <c r="P266" i="10"/>
  <c r="P268" i="10"/>
  <c r="T268" i="10" s="1"/>
  <c r="P270" i="10"/>
  <c r="T270" i="10" s="1"/>
  <c r="P272" i="10"/>
  <c r="T272" i="10" s="1"/>
  <c r="O274" i="10"/>
  <c r="Q274" i="10"/>
  <c r="U274" i="10" s="1"/>
  <c r="V274" i="10" s="1"/>
  <c r="O277" i="10"/>
  <c r="O285" i="10"/>
  <c r="Q306" i="10"/>
  <c r="U306" i="10" s="1"/>
  <c r="V306" i="10" s="1"/>
  <c r="Q314" i="10"/>
  <c r="U314" i="10" s="1"/>
  <c r="V314" i="10" s="1"/>
  <c r="Q322" i="10"/>
  <c r="U322" i="10" s="1"/>
  <c r="V322" i="10" s="1"/>
  <c r="W322" i="10" s="1"/>
  <c r="O360" i="10"/>
  <c r="Q360" i="10"/>
  <c r="U360" i="10" s="1"/>
  <c r="V360" i="10" s="1"/>
  <c r="P367" i="10"/>
  <c r="T367" i="10" s="1"/>
  <c r="Q367" i="10" s="1"/>
  <c r="U367" i="10" s="1"/>
  <c r="O367" i="10"/>
  <c r="K296" i="10"/>
  <c r="Q277" i="10"/>
  <c r="U277" i="10" s="1"/>
  <c r="V277" i="10" s="1"/>
  <c r="Q281" i="10"/>
  <c r="U281" i="10" s="1"/>
  <c r="V281" i="10" s="1"/>
  <c r="W281" i="10" s="1"/>
  <c r="Q285" i="10"/>
  <c r="U285" i="10" s="1"/>
  <c r="V285" i="10" s="1"/>
  <c r="O303" i="10"/>
  <c r="O307" i="10"/>
  <c r="O311" i="10"/>
  <c r="O315" i="10"/>
  <c r="O319" i="10"/>
  <c r="O323" i="10"/>
  <c r="O327" i="10"/>
  <c r="O331" i="10"/>
  <c r="P355" i="10"/>
  <c r="T355" i="10" s="1"/>
  <c r="O355" i="10"/>
  <c r="O356" i="10"/>
  <c r="Q356" i="10"/>
  <c r="U356" i="10" s="1"/>
  <c r="V356" i="10" s="1"/>
  <c r="P363" i="10"/>
  <c r="T363" i="10" s="1"/>
  <c r="Q363" i="10" s="1"/>
  <c r="U363" i="10" s="1"/>
  <c r="O363" i="10"/>
  <c r="O364" i="10"/>
  <c r="O276" i="10"/>
  <c r="O280" i="10"/>
  <c r="O284" i="10"/>
  <c r="O288" i="10"/>
  <c r="O304" i="10"/>
  <c r="O308" i="10"/>
  <c r="O312" i="10"/>
  <c r="O316" i="10"/>
  <c r="O320" i="10"/>
  <c r="O324" i="10"/>
  <c r="O328" i="10"/>
  <c r="O332" i="10"/>
  <c r="O344" i="10"/>
  <c r="O348" i="10"/>
  <c r="J407" i="10"/>
  <c r="O377" i="10"/>
  <c r="O379" i="10"/>
  <c r="O381" i="10"/>
  <c r="O383" i="10"/>
  <c r="O385" i="10"/>
  <c r="O387" i="10"/>
  <c r="O389" i="10"/>
  <c r="O391" i="10"/>
  <c r="O393" i="10"/>
  <c r="O395" i="10"/>
  <c r="O397" i="10"/>
  <c r="O399" i="10"/>
  <c r="P399" i="10"/>
  <c r="T399" i="10" s="1"/>
  <c r="O401" i="10"/>
  <c r="P401" i="10"/>
  <c r="T401" i="10" s="1"/>
  <c r="O403" i="10"/>
  <c r="P403" i="10"/>
  <c r="T403" i="10" s="1"/>
  <c r="Q403" i="10" s="1"/>
  <c r="U403" i="10" s="1"/>
  <c r="O405" i="10"/>
  <c r="P405" i="10"/>
  <c r="T405" i="10" s="1"/>
  <c r="Q405" i="10" s="1"/>
  <c r="U405" i="10" s="1"/>
  <c r="M444" i="10"/>
  <c r="P303" i="10"/>
  <c r="P305" i="10"/>
  <c r="T305" i="10" s="1"/>
  <c r="P307" i="10"/>
  <c r="T307" i="10" s="1"/>
  <c r="P309" i="10"/>
  <c r="T309" i="10" s="1"/>
  <c r="P311" i="10"/>
  <c r="T311" i="10" s="1"/>
  <c r="P313" i="10"/>
  <c r="T313" i="10" s="1"/>
  <c r="P315" i="10"/>
  <c r="T315" i="10" s="1"/>
  <c r="P317" i="10"/>
  <c r="T317" i="10" s="1"/>
  <c r="P319" i="10"/>
  <c r="T319" i="10" s="1"/>
  <c r="P321" i="10"/>
  <c r="T321" i="10" s="1"/>
  <c r="P323" i="10"/>
  <c r="T323" i="10" s="1"/>
  <c r="P325" i="10"/>
  <c r="T325" i="10" s="1"/>
  <c r="P327" i="10"/>
  <c r="T327" i="10" s="1"/>
  <c r="P329" i="10"/>
  <c r="T329" i="10" s="1"/>
  <c r="P331" i="10"/>
  <c r="T331" i="10" s="1"/>
  <c r="H370" i="10"/>
  <c r="N370" i="10"/>
  <c r="O341" i="10"/>
  <c r="Q342" i="10"/>
  <c r="U342" i="10" s="1"/>
  <c r="V342" i="10" s="1"/>
  <c r="W342" i="10" s="1"/>
  <c r="O343" i="10"/>
  <c r="Q344" i="10"/>
  <c r="U344" i="10" s="1"/>
  <c r="V344" i="10" s="1"/>
  <c r="O345" i="10"/>
  <c r="W345" i="10" s="1"/>
  <c r="O347" i="10"/>
  <c r="Q348" i="10"/>
  <c r="U348" i="10" s="1"/>
  <c r="V348" i="10" s="1"/>
  <c r="O349" i="10"/>
  <c r="O350" i="10"/>
  <c r="O354" i="10"/>
  <c r="O358" i="10"/>
  <c r="O362" i="10"/>
  <c r="O366" i="10"/>
  <c r="Q289" i="10"/>
  <c r="U289" i="10" s="1"/>
  <c r="V289" i="10" s="1"/>
  <c r="W289" i="10" s="1"/>
  <c r="O290" i="10"/>
  <c r="O292" i="10"/>
  <c r="O294" i="10"/>
  <c r="Q295" i="10"/>
  <c r="U295" i="10" s="1"/>
  <c r="V295" i="10" s="1"/>
  <c r="H333" i="10"/>
  <c r="J370" i="10"/>
  <c r="O340" i="10"/>
  <c r="Q353" i="10"/>
  <c r="U353" i="10" s="1"/>
  <c r="V353" i="10" s="1"/>
  <c r="Q357" i="10"/>
  <c r="U357" i="10" s="1"/>
  <c r="V357" i="10" s="1"/>
  <c r="Q361" i="10"/>
  <c r="U361" i="10" s="1"/>
  <c r="V361" i="10" s="1"/>
  <c r="W361" i="10" s="1"/>
  <c r="Q365" i="10"/>
  <c r="U365" i="10" s="1"/>
  <c r="V365" i="10" s="1"/>
  <c r="O378" i="10"/>
  <c r="Q380" i="10"/>
  <c r="U380" i="10" s="1"/>
  <c r="V380" i="10" s="1"/>
  <c r="O380" i="10"/>
  <c r="Q382" i="10"/>
  <c r="U382" i="10" s="1"/>
  <c r="V382" i="10" s="1"/>
  <c r="O382" i="10"/>
  <c r="O384" i="10"/>
  <c r="O386" i="10"/>
  <c r="Q388" i="10"/>
  <c r="U388" i="10" s="1"/>
  <c r="V388" i="10" s="1"/>
  <c r="O388" i="10"/>
  <c r="Q390" i="10"/>
  <c r="U390" i="10" s="1"/>
  <c r="V390" i="10" s="1"/>
  <c r="O390" i="10"/>
  <c r="W390" i="10" s="1"/>
  <c r="O392" i="10"/>
  <c r="O394" i="10"/>
  <c r="Q396" i="10"/>
  <c r="U396" i="10" s="1"/>
  <c r="V396" i="10" s="1"/>
  <c r="O396" i="10"/>
  <c r="M407" i="10"/>
  <c r="O398" i="10"/>
  <c r="P398" i="10"/>
  <c r="T398" i="10" s="1"/>
  <c r="O400" i="10"/>
  <c r="P400" i="10"/>
  <c r="T400" i="10" s="1"/>
  <c r="Q400" i="10" s="1"/>
  <c r="U400" i="10" s="1"/>
  <c r="O402" i="10"/>
  <c r="P402" i="10"/>
  <c r="T402" i="10" s="1"/>
  <c r="Q402" i="10" s="1"/>
  <c r="U402" i="10" s="1"/>
  <c r="O404" i="10"/>
  <c r="P404" i="10"/>
  <c r="T404" i="10" s="1"/>
  <c r="O406" i="10"/>
  <c r="P406" i="10"/>
  <c r="T406" i="10" s="1"/>
  <c r="O414" i="10"/>
  <c r="O416" i="10"/>
  <c r="O418" i="10"/>
  <c r="O420" i="10"/>
  <c r="O422" i="10"/>
  <c r="O424" i="10"/>
  <c r="O426" i="10"/>
  <c r="O428" i="10"/>
  <c r="O430" i="10"/>
  <c r="O432" i="10"/>
  <c r="O434" i="10"/>
  <c r="O436" i="10"/>
  <c r="O438" i="10"/>
  <c r="O440" i="10"/>
  <c r="O442" i="10"/>
  <c r="H407" i="10"/>
  <c r="P377" i="10"/>
  <c r="N407" i="10"/>
  <c r="P379" i="10"/>
  <c r="T379" i="10" s="1"/>
  <c r="P381" i="10"/>
  <c r="T381" i="10" s="1"/>
  <c r="Q381" i="10" s="1"/>
  <c r="U381" i="10" s="1"/>
  <c r="P383" i="10"/>
  <c r="T383" i="10" s="1"/>
  <c r="P385" i="10"/>
  <c r="T385" i="10" s="1"/>
  <c r="Q385" i="10" s="1"/>
  <c r="U385" i="10" s="1"/>
  <c r="P387" i="10"/>
  <c r="T387" i="10" s="1"/>
  <c r="Q387" i="10" s="1"/>
  <c r="U387" i="10" s="1"/>
  <c r="P389" i="10"/>
  <c r="T389" i="10" s="1"/>
  <c r="Q389" i="10" s="1"/>
  <c r="U389" i="10" s="1"/>
  <c r="P391" i="10"/>
  <c r="T391" i="10" s="1"/>
  <c r="P393" i="10"/>
  <c r="T393" i="10" s="1"/>
  <c r="Q393" i="10" s="1"/>
  <c r="U393" i="10" s="1"/>
  <c r="P395" i="10"/>
  <c r="T395" i="10" s="1"/>
  <c r="P397" i="10"/>
  <c r="T397" i="10" s="1"/>
  <c r="Q397" i="10" s="1"/>
  <c r="U397" i="10" s="1"/>
  <c r="Q414" i="10"/>
  <c r="P415" i="10"/>
  <c r="T415" i="10" s="1"/>
  <c r="H444" i="10"/>
  <c r="O415" i="10"/>
  <c r="Q416" i="10"/>
  <c r="U416" i="10" s="1"/>
  <c r="V416" i="10" s="1"/>
  <c r="P417" i="10"/>
  <c r="T417" i="10" s="1"/>
  <c r="O417" i="10"/>
  <c r="P419" i="10"/>
  <c r="T419" i="10" s="1"/>
  <c r="O419" i="10"/>
  <c r="Q420" i="10"/>
  <c r="U420" i="10" s="1"/>
  <c r="V420" i="10" s="1"/>
  <c r="P421" i="10"/>
  <c r="T421" i="10" s="1"/>
  <c r="O421" i="10"/>
  <c r="Q422" i="10"/>
  <c r="U422" i="10" s="1"/>
  <c r="V422" i="10" s="1"/>
  <c r="P423" i="10"/>
  <c r="T423" i="10" s="1"/>
  <c r="O423" i="10"/>
  <c r="Q424" i="10"/>
  <c r="U424" i="10" s="1"/>
  <c r="V424" i="10" s="1"/>
  <c r="P425" i="10"/>
  <c r="T425" i="10" s="1"/>
  <c r="O425" i="10"/>
  <c r="P427" i="10"/>
  <c r="T427" i="10" s="1"/>
  <c r="O427" i="10"/>
  <c r="P429" i="10"/>
  <c r="T429" i="10" s="1"/>
  <c r="O429" i="10"/>
  <c r="Q430" i="10"/>
  <c r="U430" i="10" s="1"/>
  <c r="V430" i="10" s="1"/>
  <c r="P431" i="10"/>
  <c r="T431" i="10" s="1"/>
  <c r="O431" i="10"/>
  <c r="Q432" i="10"/>
  <c r="U432" i="10" s="1"/>
  <c r="V432" i="10" s="1"/>
  <c r="P433" i="10"/>
  <c r="T433" i="10" s="1"/>
  <c r="O433" i="10"/>
  <c r="Q434" i="10"/>
  <c r="U434" i="10" s="1"/>
  <c r="V434" i="10" s="1"/>
  <c r="P435" i="10"/>
  <c r="T435" i="10" s="1"/>
  <c r="O435" i="10"/>
  <c r="Q436" i="10"/>
  <c r="U436" i="10" s="1"/>
  <c r="V436" i="10" s="1"/>
  <c r="P437" i="10"/>
  <c r="T437" i="10" s="1"/>
  <c r="O437" i="10"/>
  <c r="Q438" i="10"/>
  <c r="U438" i="10" s="1"/>
  <c r="V438" i="10" s="1"/>
  <c r="P439" i="10"/>
  <c r="T439" i="10" s="1"/>
  <c r="O439" i="10"/>
  <c r="Q440" i="10"/>
  <c r="U440" i="10" s="1"/>
  <c r="V440" i="10" s="1"/>
  <c r="P441" i="10"/>
  <c r="T441" i="10" s="1"/>
  <c r="O441" i="10"/>
  <c r="Q442" i="10"/>
  <c r="U442" i="10" s="1"/>
  <c r="V442" i="10" s="1"/>
  <c r="P443" i="10"/>
  <c r="T443" i="10" s="1"/>
  <c r="O443" i="10"/>
  <c r="W330" i="10" l="1"/>
  <c r="W107" i="10"/>
  <c r="W91" i="10"/>
  <c r="W357" i="10"/>
  <c r="W125" i="10"/>
  <c r="W326" i="10"/>
  <c r="W87" i="10"/>
  <c r="W18" i="10"/>
  <c r="W382" i="10"/>
  <c r="O111" i="10"/>
  <c r="W139" i="10"/>
  <c r="W99" i="10"/>
  <c r="W85" i="10"/>
  <c r="W332" i="10"/>
  <c r="W145" i="10"/>
  <c r="W267" i="10"/>
  <c r="V294" i="10"/>
  <c r="W294" i="10" s="1"/>
  <c r="V267" i="10"/>
  <c r="W230" i="10"/>
  <c r="W133" i="10"/>
  <c r="W123" i="10"/>
  <c r="W232" i="10"/>
  <c r="W89" i="10"/>
  <c r="W293" i="10"/>
  <c r="W308" i="10"/>
  <c r="W131" i="10"/>
  <c r="O11" i="13"/>
  <c r="N11" i="13"/>
  <c r="S11" i="13" s="1"/>
  <c r="T11" i="13" s="1"/>
  <c r="N9" i="13"/>
  <c r="S9" i="13" s="1"/>
  <c r="T9" i="13" s="1"/>
  <c r="O9" i="13"/>
  <c r="N10" i="13"/>
  <c r="S10" i="13" s="1"/>
  <c r="T10" i="13" s="1"/>
  <c r="O10" i="13"/>
  <c r="N14" i="13"/>
  <c r="S14" i="13" s="1"/>
  <c r="T14" i="13" s="1"/>
  <c r="O14" i="13"/>
  <c r="O15" i="13"/>
  <c r="N15" i="13"/>
  <c r="S15" i="13" s="1"/>
  <c r="T15" i="13" s="1"/>
  <c r="N13" i="13"/>
  <c r="S13" i="13" s="1"/>
  <c r="O13" i="13"/>
  <c r="O7" i="13"/>
  <c r="L19" i="13"/>
  <c r="N7" i="13"/>
  <c r="T13" i="13"/>
  <c r="N18" i="13"/>
  <c r="S18" i="13" s="1"/>
  <c r="T18" i="13" s="1"/>
  <c r="O18" i="13"/>
  <c r="N17" i="13"/>
  <c r="S17" i="13" s="1"/>
  <c r="T17" i="13" s="1"/>
  <c r="O17" i="13"/>
  <c r="Q346" i="10"/>
  <c r="U346" i="10" s="1"/>
  <c r="V346" i="10" s="1"/>
  <c r="W346" i="10" s="1"/>
  <c r="V366" i="10"/>
  <c r="W238" i="10"/>
  <c r="W353" i="10"/>
  <c r="W295" i="10"/>
  <c r="W314" i="10"/>
  <c r="V362" i="10"/>
  <c r="W318" i="10"/>
  <c r="W246" i="10"/>
  <c r="Q129" i="10"/>
  <c r="U129" i="10" s="1"/>
  <c r="V129" i="10" s="1"/>
  <c r="W129" i="10" s="1"/>
  <c r="W47" i="10"/>
  <c r="W34" i="10"/>
  <c r="W14" i="10"/>
  <c r="W254" i="10"/>
  <c r="W143" i="10"/>
  <c r="W101" i="10"/>
  <c r="W11" i="10"/>
  <c r="W310" i="10"/>
  <c r="V256" i="10"/>
  <c r="W256" i="10" s="1"/>
  <c r="W45" i="10"/>
  <c r="W177" i="10"/>
  <c r="W356" i="10"/>
  <c r="W306" i="10"/>
  <c r="Q66" i="10"/>
  <c r="U66" i="10" s="1"/>
  <c r="V66" i="10" s="1"/>
  <c r="W66" i="10" s="1"/>
  <c r="W161" i="10"/>
  <c r="W25" i="10"/>
  <c r="V248" i="10"/>
  <c r="W248" i="10" s="1"/>
  <c r="W49" i="10"/>
  <c r="Q358" i="10"/>
  <c r="U358" i="10" s="1"/>
  <c r="V358" i="10" s="1"/>
  <c r="W358" i="10" s="1"/>
  <c r="V324" i="10"/>
  <c r="W324" i="10" s="1"/>
  <c r="V271" i="10"/>
  <c r="W271" i="10" s="1"/>
  <c r="Q240" i="10"/>
  <c r="U240" i="10" s="1"/>
  <c r="V240" i="10" s="1"/>
  <c r="W240" i="10" s="1"/>
  <c r="V31" i="10"/>
  <c r="W31" i="10" s="1"/>
  <c r="V27" i="10"/>
  <c r="W27" i="10" s="1"/>
  <c r="Q273" i="10"/>
  <c r="U273" i="10" s="1"/>
  <c r="V273" i="10" s="1"/>
  <c r="W273" i="10" s="1"/>
  <c r="Q441" i="10"/>
  <c r="U441" i="10" s="1"/>
  <c r="V441" i="10" s="1"/>
  <c r="W441" i="10" s="1"/>
  <c r="Q433" i="10"/>
  <c r="U433" i="10" s="1"/>
  <c r="V433" i="10" s="1"/>
  <c r="W433" i="10" s="1"/>
  <c r="Q415" i="10"/>
  <c r="U415" i="10" s="1"/>
  <c r="V415" i="10" s="1"/>
  <c r="W415" i="10" s="1"/>
  <c r="O370" i="10"/>
  <c r="W290" i="10"/>
  <c r="Q329" i="10"/>
  <c r="U329" i="10" s="1"/>
  <c r="V329" i="10" s="1"/>
  <c r="W329" i="10" s="1"/>
  <c r="Q313" i="10"/>
  <c r="U313" i="10" s="1"/>
  <c r="V313" i="10" s="1"/>
  <c r="W313" i="10" s="1"/>
  <c r="W280" i="10"/>
  <c r="Q257" i="10"/>
  <c r="U257" i="10" s="1"/>
  <c r="V257" i="10" s="1"/>
  <c r="W257" i="10" s="1"/>
  <c r="Q245" i="10"/>
  <c r="U245" i="10" s="1"/>
  <c r="V245" i="10" s="1"/>
  <c r="W245" i="10" s="1"/>
  <c r="Q237" i="10"/>
  <c r="U237" i="10" s="1"/>
  <c r="V237" i="10" s="1"/>
  <c r="W237" i="10" s="1"/>
  <c r="W214" i="10"/>
  <c r="W198" i="10"/>
  <c r="O222" i="10"/>
  <c r="T111" i="10"/>
  <c r="Q81" i="10"/>
  <c r="P370" i="10"/>
  <c r="T340" i="10"/>
  <c r="W167" i="10"/>
  <c r="W157" i="10"/>
  <c r="W33" i="10"/>
  <c r="W17" i="10"/>
  <c r="W35" i="10"/>
  <c r="Q435" i="10"/>
  <c r="U435" i="10" s="1"/>
  <c r="V435" i="10" s="1"/>
  <c r="W435" i="10" s="1"/>
  <c r="V393" i="10"/>
  <c r="W393" i="10" s="1"/>
  <c r="W440" i="10"/>
  <c r="W432" i="10"/>
  <c r="W424" i="10"/>
  <c r="W416" i="10"/>
  <c r="W394" i="10"/>
  <c r="W386" i="10"/>
  <c r="W347" i="10"/>
  <c r="Q327" i="10"/>
  <c r="U327" i="10" s="1"/>
  <c r="V327" i="10" s="1"/>
  <c r="W327" i="10" s="1"/>
  <c r="Q311" i="10"/>
  <c r="U311" i="10" s="1"/>
  <c r="V311" i="10" s="1"/>
  <c r="W311" i="10" s="1"/>
  <c r="W344" i="10"/>
  <c r="W276" i="10"/>
  <c r="W274" i="10"/>
  <c r="Q304" i="10"/>
  <c r="U304" i="10" s="1"/>
  <c r="V304" i="10" s="1"/>
  <c r="W304" i="10" s="1"/>
  <c r="W220" i="10"/>
  <c r="W204" i="10"/>
  <c r="W147" i="10"/>
  <c r="W67" i="10"/>
  <c r="W59" i="10"/>
  <c r="W51" i="10"/>
  <c r="Q126" i="10"/>
  <c r="U126" i="10" s="1"/>
  <c r="V126" i="10" s="1"/>
  <c r="W126" i="10" s="1"/>
  <c r="W62" i="10"/>
  <c r="Q217" i="10"/>
  <c r="U217" i="10" s="1"/>
  <c r="V217" i="10" s="1"/>
  <c r="W217" i="10" s="1"/>
  <c r="W181" i="10"/>
  <c r="W175" i="10"/>
  <c r="Q96" i="10"/>
  <c r="U96" i="10" s="1"/>
  <c r="V96" i="10" s="1"/>
  <c r="W96" i="10" s="1"/>
  <c r="P74" i="10"/>
  <c r="T44" i="10"/>
  <c r="V8" i="10"/>
  <c r="W8" i="10" s="1"/>
  <c r="V160" i="10"/>
  <c r="W160" i="10" s="1"/>
  <c r="Q138" i="10"/>
  <c r="U138" i="10" s="1"/>
  <c r="V138" i="10" s="1"/>
  <c r="W138" i="10" s="1"/>
  <c r="V15" i="10"/>
  <c r="W15" i="10" s="1"/>
  <c r="W72" i="10"/>
  <c r="O296" i="10"/>
  <c r="Q437" i="10"/>
  <c r="U437" i="10" s="1"/>
  <c r="V437" i="10" s="1"/>
  <c r="W437" i="10" s="1"/>
  <c r="Q421" i="10"/>
  <c r="U421" i="10" s="1"/>
  <c r="V421" i="10" s="1"/>
  <c r="W421" i="10" s="1"/>
  <c r="Q406" i="10"/>
  <c r="U406" i="10" s="1"/>
  <c r="V406" i="10" s="1"/>
  <c r="W406" i="10" s="1"/>
  <c r="Q398" i="10"/>
  <c r="U398" i="10" s="1"/>
  <c r="V398" i="10" s="1"/>
  <c r="W398" i="10" s="1"/>
  <c r="T377" i="10"/>
  <c r="P407" i="10"/>
  <c r="V400" i="10"/>
  <c r="W400" i="10" s="1"/>
  <c r="W292" i="10"/>
  <c r="W366" i="10"/>
  <c r="W350" i="10"/>
  <c r="Q325" i="10"/>
  <c r="U325" i="10" s="1"/>
  <c r="V325" i="10" s="1"/>
  <c r="W325" i="10" s="1"/>
  <c r="Q317" i="10"/>
  <c r="U317" i="10" s="1"/>
  <c r="V317" i="10" s="1"/>
  <c r="W317" i="10" s="1"/>
  <c r="V309" i="10"/>
  <c r="W309" i="10" s="1"/>
  <c r="Q309" i="10"/>
  <c r="U309" i="10" s="1"/>
  <c r="V403" i="10"/>
  <c r="W403" i="10" s="1"/>
  <c r="Q399" i="10"/>
  <c r="U399" i="10" s="1"/>
  <c r="V399" i="10" s="1"/>
  <c r="W399" i="10" s="1"/>
  <c r="Q395" i="10"/>
  <c r="U395" i="10" s="1"/>
  <c r="V395" i="10" s="1"/>
  <c r="W395" i="10" s="1"/>
  <c r="Q391" i="10"/>
  <c r="U391" i="10" s="1"/>
  <c r="V391" i="10" s="1"/>
  <c r="W391" i="10" s="1"/>
  <c r="Q383" i="10"/>
  <c r="U383" i="10" s="1"/>
  <c r="V383" i="10" s="1"/>
  <c r="W383" i="10" s="1"/>
  <c r="Q379" i="10"/>
  <c r="U379" i="10" s="1"/>
  <c r="V379" i="10" s="1"/>
  <c r="W379" i="10" s="1"/>
  <c r="W316" i="10"/>
  <c r="W288" i="10"/>
  <c r="W285" i="10"/>
  <c r="Q255" i="10"/>
  <c r="U255" i="10" s="1"/>
  <c r="V255" i="10" s="1"/>
  <c r="W255" i="10" s="1"/>
  <c r="Q251" i="10"/>
  <c r="U251" i="10" s="1"/>
  <c r="V251" i="10" s="1"/>
  <c r="W251" i="10" s="1"/>
  <c r="Q247" i="10"/>
  <c r="U247" i="10" s="1"/>
  <c r="V247" i="10" s="1"/>
  <c r="W247" i="10" s="1"/>
  <c r="Q243" i="10"/>
  <c r="U243" i="10" s="1"/>
  <c r="V243" i="10" s="1"/>
  <c r="W243" i="10" s="1"/>
  <c r="Q239" i="10"/>
  <c r="U239" i="10" s="1"/>
  <c r="V239" i="10" s="1"/>
  <c r="W239" i="10" s="1"/>
  <c r="Q235" i="10"/>
  <c r="U235" i="10" s="1"/>
  <c r="V235" i="10" s="1"/>
  <c r="W235" i="10" s="1"/>
  <c r="Q231" i="10"/>
  <c r="U231" i="10" s="1"/>
  <c r="V231" i="10" s="1"/>
  <c r="W231" i="10" s="1"/>
  <c r="Q286" i="10"/>
  <c r="U286" i="10" s="1"/>
  <c r="V286" i="10" s="1"/>
  <c r="W286" i="10" s="1"/>
  <c r="W218" i="10"/>
  <c r="W210" i="10"/>
  <c r="W202" i="10"/>
  <c r="W194" i="10"/>
  <c r="Q132" i="10"/>
  <c r="U132" i="10" s="1"/>
  <c r="V132" i="10" s="1"/>
  <c r="W132" i="10" s="1"/>
  <c r="O74" i="10"/>
  <c r="O148" i="10"/>
  <c r="Q219" i="10"/>
  <c r="U219" i="10" s="1"/>
  <c r="V219" i="10" s="1"/>
  <c r="W219" i="10" s="1"/>
  <c r="Q203" i="10"/>
  <c r="U203" i="10" s="1"/>
  <c r="V203" i="10" s="1"/>
  <c r="W203" i="10" s="1"/>
  <c r="Q174" i="10"/>
  <c r="U174" i="10" s="1"/>
  <c r="V174" i="10" s="1"/>
  <c r="W174" i="10" s="1"/>
  <c r="W169" i="10"/>
  <c r="W163" i="10"/>
  <c r="W159" i="10"/>
  <c r="Q106" i="10"/>
  <c r="U106" i="10" s="1"/>
  <c r="V106" i="10" s="1"/>
  <c r="W106" i="10" s="1"/>
  <c r="Q90" i="10"/>
  <c r="U90" i="10" s="1"/>
  <c r="V90" i="10" s="1"/>
  <c r="W90" i="10" s="1"/>
  <c r="W29" i="10"/>
  <c r="W21" i="10"/>
  <c r="W13" i="10"/>
  <c r="V140" i="10"/>
  <c r="W140" i="10" s="1"/>
  <c r="V136" i="10"/>
  <c r="V128" i="10"/>
  <c r="W128" i="10" s="1"/>
  <c r="V124" i="10"/>
  <c r="W124" i="10" s="1"/>
  <c r="W70" i="10"/>
  <c r="W58" i="10"/>
  <c r="W50" i="10"/>
  <c r="Q425" i="10"/>
  <c r="U425" i="10" s="1"/>
  <c r="V425" i="10" s="1"/>
  <c r="W425" i="10" s="1"/>
  <c r="Q417" i="10"/>
  <c r="U417" i="10" s="1"/>
  <c r="V417" i="10" s="1"/>
  <c r="W417" i="10" s="1"/>
  <c r="V387" i="10"/>
  <c r="W387" i="10" s="1"/>
  <c r="T444" i="10"/>
  <c r="V402" i="10"/>
  <c r="W402" i="10" s="1"/>
  <c r="Q321" i="10"/>
  <c r="U321" i="10" s="1"/>
  <c r="V321" i="10" s="1"/>
  <c r="W321" i="10" s="1"/>
  <c r="Q305" i="10"/>
  <c r="U305" i="10" s="1"/>
  <c r="V305" i="10" s="1"/>
  <c r="W305" i="10" s="1"/>
  <c r="W348" i="10"/>
  <c r="P296" i="10"/>
  <c r="T266" i="10"/>
  <c r="Q253" i="10"/>
  <c r="U253" i="10" s="1"/>
  <c r="V253" i="10" s="1"/>
  <c r="W253" i="10" s="1"/>
  <c r="Q249" i="10"/>
  <c r="U249" i="10" s="1"/>
  <c r="V249" i="10" s="1"/>
  <c r="W249" i="10" s="1"/>
  <c r="Q241" i="10"/>
  <c r="U241" i="10" s="1"/>
  <c r="V241" i="10" s="1"/>
  <c r="W241" i="10" s="1"/>
  <c r="Q233" i="10"/>
  <c r="U233" i="10" s="1"/>
  <c r="V233" i="10" s="1"/>
  <c r="W233" i="10" s="1"/>
  <c r="V146" i="10"/>
  <c r="W146" i="10" s="1"/>
  <c r="V279" i="10"/>
  <c r="W279" i="10" s="1"/>
  <c r="W206" i="10"/>
  <c r="V201" i="10"/>
  <c r="W201" i="10" s="1"/>
  <c r="W171" i="10"/>
  <c r="V46" i="10"/>
  <c r="W9" i="10"/>
  <c r="V144" i="10"/>
  <c r="W144" i="10" s="1"/>
  <c r="W54" i="10"/>
  <c r="O37" i="10"/>
  <c r="Q443" i="10"/>
  <c r="U443" i="10" s="1"/>
  <c r="V443" i="10" s="1"/>
  <c r="W443" i="10" s="1"/>
  <c r="Q427" i="10"/>
  <c r="U427" i="10" s="1"/>
  <c r="V427" i="10" s="1"/>
  <c r="W427" i="10" s="1"/>
  <c r="Q419" i="10"/>
  <c r="U419" i="10" s="1"/>
  <c r="V419" i="10" s="1"/>
  <c r="W419" i="10" s="1"/>
  <c r="U414" i="10"/>
  <c r="V385" i="10"/>
  <c r="W385" i="10" s="1"/>
  <c r="P444" i="10"/>
  <c r="W436" i="10"/>
  <c r="W428" i="10"/>
  <c r="W420" i="10"/>
  <c r="W354" i="10"/>
  <c r="W343" i="10"/>
  <c r="Q319" i="10"/>
  <c r="U319" i="10" s="1"/>
  <c r="V319" i="10" s="1"/>
  <c r="W319" i="10" s="1"/>
  <c r="P333" i="10"/>
  <c r="T303" i="10"/>
  <c r="W320" i="10"/>
  <c r="V363" i="10"/>
  <c r="W363" i="10" s="1"/>
  <c r="Q270" i="10"/>
  <c r="U270" i="10" s="1"/>
  <c r="V270" i="10" s="1"/>
  <c r="W270" i="10" s="1"/>
  <c r="P259" i="10"/>
  <c r="T229" i="10"/>
  <c r="W365" i="10"/>
  <c r="Q283" i="10"/>
  <c r="U283" i="10" s="1"/>
  <c r="V283" i="10" s="1"/>
  <c r="W283" i="10" s="1"/>
  <c r="W212" i="10"/>
  <c r="W196" i="10"/>
  <c r="W71" i="10"/>
  <c r="W63" i="10"/>
  <c r="W55" i="10"/>
  <c r="Q351" i="10"/>
  <c r="U351" i="10" s="1"/>
  <c r="V351" i="10" s="1"/>
  <c r="W351" i="10" s="1"/>
  <c r="V166" i="10"/>
  <c r="W166" i="10" s="1"/>
  <c r="Q134" i="10"/>
  <c r="U134" i="10" s="1"/>
  <c r="V134" i="10" s="1"/>
  <c r="W134" i="10" s="1"/>
  <c r="P111" i="10"/>
  <c r="V211" i="10"/>
  <c r="W211" i="10" s="1"/>
  <c r="Q209" i="10"/>
  <c r="U209" i="10" s="1"/>
  <c r="V209" i="10" s="1"/>
  <c r="W209" i="10" s="1"/>
  <c r="V195" i="10"/>
  <c r="W195" i="10" s="1"/>
  <c r="Q193" i="10"/>
  <c r="U193" i="10" s="1"/>
  <c r="V193" i="10" s="1"/>
  <c r="W193" i="10" s="1"/>
  <c r="W165" i="10"/>
  <c r="T155" i="10"/>
  <c r="P185" i="10"/>
  <c r="Q104" i="10"/>
  <c r="U104" i="10" s="1"/>
  <c r="V104" i="10" s="1"/>
  <c r="W104" i="10" s="1"/>
  <c r="V98" i="10"/>
  <c r="W98" i="10" s="1"/>
  <c r="Q88" i="10"/>
  <c r="U88" i="10" s="1"/>
  <c r="V88" i="10" s="1"/>
  <c r="W88" i="10" s="1"/>
  <c r="V82" i="10"/>
  <c r="W82" i="10" s="1"/>
  <c r="V32" i="10"/>
  <c r="W32" i="10" s="1"/>
  <c r="V182" i="10"/>
  <c r="W182" i="10" s="1"/>
  <c r="V60" i="10"/>
  <c r="W60" i="10" s="1"/>
  <c r="Q282" i="10"/>
  <c r="U282" i="10" s="1"/>
  <c r="V282" i="10" s="1"/>
  <c r="W282" i="10" s="1"/>
  <c r="W136" i="10"/>
  <c r="W64" i="10"/>
  <c r="W52" i="10"/>
  <c r="Q120" i="10"/>
  <c r="U120" i="10" s="1"/>
  <c r="V120" i="10" s="1"/>
  <c r="W120" i="10" s="1"/>
  <c r="Q24" i="10"/>
  <c r="U24" i="10" s="1"/>
  <c r="V24" i="10" s="1"/>
  <c r="W24" i="10" s="1"/>
  <c r="Q176" i="10"/>
  <c r="U176" i="10" s="1"/>
  <c r="V176" i="10" s="1"/>
  <c r="W176" i="10" s="1"/>
  <c r="Q429" i="10"/>
  <c r="U429" i="10" s="1"/>
  <c r="V429" i="10" s="1"/>
  <c r="W429" i="10" s="1"/>
  <c r="Q439" i="10"/>
  <c r="U439" i="10" s="1"/>
  <c r="V439" i="10" s="1"/>
  <c r="W439" i="10" s="1"/>
  <c r="Q431" i="10"/>
  <c r="U431" i="10" s="1"/>
  <c r="V431" i="10" s="1"/>
  <c r="W431" i="10" s="1"/>
  <c r="Q423" i="10"/>
  <c r="U423" i="10" s="1"/>
  <c r="V423" i="10" s="1"/>
  <c r="W423" i="10" s="1"/>
  <c r="Q404" i="10"/>
  <c r="U404" i="10" s="1"/>
  <c r="V404" i="10" s="1"/>
  <c r="W404" i="10" s="1"/>
  <c r="V397" i="10"/>
  <c r="W397" i="10" s="1"/>
  <c r="V389" i="10"/>
  <c r="W389" i="10" s="1"/>
  <c r="V381" i="10"/>
  <c r="W381" i="10" s="1"/>
  <c r="W442" i="10"/>
  <c r="W438" i="10"/>
  <c r="W434" i="10"/>
  <c r="W430" i="10"/>
  <c r="W426" i="10"/>
  <c r="W422" i="10"/>
  <c r="W418" i="10"/>
  <c r="O444" i="10"/>
  <c r="W396" i="10"/>
  <c r="W392" i="10"/>
  <c r="W388" i="10"/>
  <c r="W384" i="10"/>
  <c r="W380" i="10"/>
  <c r="W362" i="10"/>
  <c r="W349" i="10"/>
  <c r="W341" i="10"/>
  <c r="Q331" i="10"/>
  <c r="U331" i="10" s="1"/>
  <c r="V331" i="10" s="1"/>
  <c r="W331" i="10" s="1"/>
  <c r="Q323" i="10"/>
  <c r="U323" i="10" s="1"/>
  <c r="V323" i="10" s="1"/>
  <c r="W323" i="10" s="1"/>
  <c r="Q315" i="10"/>
  <c r="U315" i="10" s="1"/>
  <c r="V315" i="10" s="1"/>
  <c r="W315" i="10" s="1"/>
  <c r="Q307" i="10"/>
  <c r="U307" i="10" s="1"/>
  <c r="V307" i="10" s="1"/>
  <c r="W307" i="10" s="1"/>
  <c r="V405" i="10"/>
  <c r="W405" i="10" s="1"/>
  <c r="Q401" i="10"/>
  <c r="U401" i="10" s="1"/>
  <c r="V401" i="10" s="1"/>
  <c r="W401" i="10" s="1"/>
  <c r="O407" i="10"/>
  <c r="W328" i="10"/>
  <c r="W312" i="10"/>
  <c r="W284" i="10"/>
  <c r="W364" i="10"/>
  <c r="Q355" i="10"/>
  <c r="U355" i="10" s="1"/>
  <c r="V355" i="10" s="1"/>
  <c r="W355" i="10" s="1"/>
  <c r="O333" i="10"/>
  <c r="V367" i="10"/>
  <c r="W367" i="10" s="1"/>
  <c r="W360" i="10"/>
  <c r="W277" i="10"/>
  <c r="Q272" i="10"/>
  <c r="U272" i="10" s="1"/>
  <c r="V272" i="10" s="1"/>
  <c r="W272" i="10" s="1"/>
  <c r="Q268" i="10"/>
  <c r="U268" i="10" s="1"/>
  <c r="V268" i="10" s="1"/>
  <c r="W268" i="10" s="1"/>
  <c r="O259" i="10"/>
  <c r="O185" i="10"/>
  <c r="W368" i="10"/>
  <c r="V287" i="10"/>
  <c r="W287" i="10" s="1"/>
  <c r="Q278" i="10"/>
  <c r="U278" i="10" s="1"/>
  <c r="V278" i="10" s="1"/>
  <c r="W278" i="10" s="1"/>
  <c r="W269" i="10"/>
  <c r="V378" i="10"/>
  <c r="W378" i="10" s="1"/>
  <c r="W352" i="10"/>
  <c r="W216" i="10"/>
  <c r="W208" i="10"/>
  <c r="W200" i="10"/>
  <c r="P222" i="10"/>
  <c r="T192" i="10"/>
  <c r="W73" i="10"/>
  <c r="W69" i="10"/>
  <c r="W65" i="10"/>
  <c r="W61" i="10"/>
  <c r="W57" i="10"/>
  <c r="W53" i="10"/>
  <c r="V275" i="10"/>
  <c r="W275" i="10" s="1"/>
  <c r="V172" i="10"/>
  <c r="W172" i="10" s="1"/>
  <c r="V164" i="10"/>
  <c r="W164" i="10" s="1"/>
  <c r="V142" i="10"/>
  <c r="W142" i="10" s="1"/>
  <c r="V130" i="10"/>
  <c r="W130" i="10" s="1"/>
  <c r="P148" i="10"/>
  <c r="T118" i="10"/>
  <c r="Q221" i="10"/>
  <c r="U221" i="10" s="1"/>
  <c r="V221" i="10" s="1"/>
  <c r="W221" i="10" s="1"/>
  <c r="V215" i="10"/>
  <c r="W215" i="10" s="1"/>
  <c r="Q213" i="10"/>
  <c r="U213" i="10" s="1"/>
  <c r="V213" i="10" s="1"/>
  <c r="W213" i="10" s="1"/>
  <c r="V207" i="10"/>
  <c r="W207" i="10" s="1"/>
  <c r="Q205" i="10"/>
  <c r="U205" i="10" s="1"/>
  <c r="V205" i="10" s="1"/>
  <c r="W205" i="10" s="1"/>
  <c r="V199" i="10"/>
  <c r="W199" i="10" s="1"/>
  <c r="Q197" i="10"/>
  <c r="U197" i="10" s="1"/>
  <c r="V197" i="10" s="1"/>
  <c r="W197" i="10" s="1"/>
  <c r="W183" i="10"/>
  <c r="W179" i="10"/>
  <c r="W173" i="10"/>
  <c r="Q168" i="10"/>
  <c r="U168" i="10" s="1"/>
  <c r="V168" i="10" s="1"/>
  <c r="W168" i="10" s="1"/>
  <c r="V110" i="10"/>
  <c r="W110" i="10" s="1"/>
  <c r="Q108" i="10"/>
  <c r="U108" i="10" s="1"/>
  <c r="V108" i="10" s="1"/>
  <c r="W108" i="10" s="1"/>
  <c r="V102" i="10"/>
  <c r="W102" i="10" s="1"/>
  <c r="Q100" i="10"/>
  <c r="U100" i="10" s="1"/>
  <c r="V100" i="10" s="1"/>
  <c r="W100" i="10" s="1"/>
  <c r="V94" i="10"/>
  <c r="W94" i="10" s="1"/>
  <c r="Q92" i="10"/>
  <c r="U92" i="10" s="1"/>
  <c r="V92" i="10" s="1"/>
  <c r="W92" i="10" s="1"/>
  <c r="V86" i="10"/>
  <c r="W86" i="10" s="1"/>
  <c r="Q84" i="10"/>
  <c r="U84" i="10" s="1"/>
  <c r="V84" i="10" s="1"/>
  <c r="W84" i="10" s="1"/>
  <c r="V48" i="10"/>
  <c r="W48" i="10" s="1"/>
  <c r="V28" i="10"/>
  <c r="W28" i="10" s="1"/>
  <c r="V20" i="10"/>
  <c r="W20" i="10" s="1"/>
  <c r="V12" i="10"/>
  <c r="W12" i="10" s="1"/>
  <c r="Q359" i="10"/>
  <c r="U359" i="10" s="1"/>
  <c r="V359" i="10" s="1"/>
  <c r="W359" i="10" s="1"/>
  <c r="V184" i="10"/>
  <c r="W184" i="10" s="1"/>
  <c r="V180" i="10"/>
  <c r="W180" i="10" s="1"/>
  <c r="V170" i="10"/>
  <c r="W170" i="10" s="1"/>
  <c r="V162" i="10"/>
  <c r="W162" i="10" s="1"/>
  <c r="V158" i="10"/>
  <c r="W158" i="10" s="1"/>
  <c r="Q122" i="10"/>
  <c r="U122" i="10" s="1"/>
  <c r="V122" i="10" s="1"/>
  <c r="W122" i="10" s="1"/>
  <c r="W46" i="10"/>
  <c r="T7" i="10"/>
  <c r="P37" i="10"/>
  <c r="W68" i="10"/>
  <c r="W56" i="10"/>
  <c r="Q16" i="10"/>
  <c r="U16" i="10" s="1"/>
  <c r="V16" i="10" s="1"/>
  <c r="W16" i="10" s="1"/>
  <c r="Q23" i="10"/>
  <c r="U23" i="10" s="1"/>
  <c r="V23" i="10" s="1"/>
  <c r="W23" i="10" s="1"/>
  <c r="Q178" i="10"/>
  <c r="U178" i="10" s="1"/>
  <c r="V178" i="10" s="1"/>
  <c r="W178" i="10" s="1"/>
  <c r="Q156" i="10"/>
  <c r="U156" i="10" s="1"/>
  <c r="V156" i="10" s="1"/>
  <c r="W156" i="10" s="1"/>
  <c r="Q36" i="10"/>
  <c r="U36" i="10" s="1"/>
  <c r="V36" i="10" s="1"/>
  <c r="W36" i="10" s="1"/>
  <c r="Q19" i="10"/>
  <c r="U19" i="10" s="1"/>
  <c r="V19" i="10" s="1"/>
  <c r="W19" i="10" s="1"/>
  <c r="O19" i="13" l="1"/>
  <c r="S7" i="13"/>
  <c r="N19" i="13"/>
  <c r="Q444" i="10"/>
  <c r="T185" i="10"/>
  <c r="Q155" i="10"/>
  <c r="T333" i="10"/>
  <c r="Q303" i="10"/>
  <c r="T74" i="10"/>
  <c r="Q44" i="10"/>
  <c r="U81" i="10"/>
  <c r="Q111" i="10"/>
  <c r="T222" i="10"/>
  <c r="Q192" i="10"/>
  <c r="T370" i="10"/>
  <c r="Q340" i="10"/>
  <c r="T37" i="10"/>
  <c r="Q7" i="10"/>
  <c r="T259" i="10"/>
  <c r="Q229" i="10"/>
  <c r="T296" i="10"/>
  <c r="Q266" i="10"/>
  <c r="T148" i="10"/>
  <c r="Q118" i="10"/>
  <c r="U444" i="10"/>
  <c r="V414" i="10"/>
  <c r="T407" i="10"/>
  <c r="Q377" i="10"/>
  <c r="S19" i="13" l="1"/>
  <c r="Q296" i="10"/>
  <c r="U266" i="10"/>
  <c r="U111" i="10"/>
  <c r="V81" i="10"/>
  <c r="Q148" i="10"/>
  <c r="U118" i="10"/>
  <c r="Q370" i="10"/>
  <c r="U340" i="10"/>
  <c r="Q74" i="10"/>
  <c r="U44" i="10"/>
  <c r="V444" i="10"/>
  <c r="W414" i="10"/>
  <c r="W444" i="10" s="1"/>
  <c r="Q259" i="10"/>
  <c r="U229" i="10"/>
  <c r="U155" i="10"/>
  <c r="Q185" i="10"/>
  <c r="U377" i="10"/>
  <c r="Q407" i="10"/>
  <c r="U192" i="10"/>
  <c r="Q222" i="10"/>
  <c r="Q333" i="10"/>
  <c r="U303" i="10"/>
  <c r="Q37" i="10"/>
  <c r="U7" i="10"/>
  <c r="W81" i="10" l="1"/>
  <c r="W111" i="10" s="1"/>
  <c r="V111" i="10"/>
  <c r="U333" i="10"/>
  <c r="V303" i="10"/>
  <c r="U259" i="10"/>
  <c r="V229" i="10"/>
  <c r="U74" i="10"/>
  <c r="V44" i="10"/>
  <c r="U148" i="10"/>
  <c r="V118" i="10"/>
  <c r="U296" i="10"/>
  <c r="V266" i="10"/>
  <c r="U37" i="10"/>
  <c r="V7" i="10"/>
  <c r="U370" i="10"/>
  <c r="V340" i="10"/>
  <c r="U222" i="10"/>
  <c r="V192" i="10"/>
  <c r="U185" i="10"/>
  <c r="V155" i="10"/>
  <c r="U407" i="10"/>
  <c r="V377" i="10"/>
  <c r="V407" i="10" l="1"/>
  <c r="W377" i="10"/>
  <c r="W407" i="10" s="1"/>
  <c r="V222" i="10"/>
  <c r="W192" i="10"/>
  <c r="W222" i="10" s="1"/>
  <c r="V37" i="10"/>
  <c r="W7" i="10"/>
  <c r="W37" i="10" s="1"/>
  <c r="V148" i="10"/>
  <c r="W118" i="10"/>
  <c r="W148" i="10" s="1"/>
  <c r="V259" i="10"/>
  <c r="W229" i="10"/>
  <c r="W259" i="10" s="1"/>
  <c r="V185" i="10"/>
  <c r="W155" i="10"/>
  <c r="W185" i="10" s="1"/>
  <c r="V370" i="10"/>
  <c r="W340" i="10"/>
  <c r="W370" i="10" s="1"/>
  <c r="V296" i="10"/>
  <c r="W266" i="10"/>
  <c r="W296" i="10" s="1"/>
  <c r="V74" i="10"/>
  <c r="W44" i="10"/>
  <c r="W74" i="10" s="1"/>
  <c r="V333" i="10"/>
  <c r="W303" i="10"/>
  <c r="W333" i="10" s="1"/>
  <c r="C19" i="8" l="1"/>
  <c r="C15" i="8"/>
  <c r="C12" i="8" l="1"/>
  <c r="C11" i="8"/>
  <c r="C8" i="8"/>
  <c r="C7" i="8"/>
  <c r="C4" i="8" l="1"/>
  <c r="C10" i="8" s="1"/>
  <c r="C20" i="5" l="1"/>
  <c r="E19" i="5"/>
  <c r="G19" i="5" s="1"/>
  <c r="C19" i="5"/>
  <c r="E18" i="5"/>
  <c r="G18" i="5" s="1"/>
  <c r="C18" i="5"/>
  <c r="E17" i="5"/>
  <c r="G17" i="5" s="1"/>
  <c r="C17" i="5"/>
  <c r="E16" i="5"/>
  <c r="G16" i="5" s="1"/>
  <c r="C16" i="5"/>
  <c r="E15" i="5"/>
  <c r="G15" i="5" s="1"/>
  <c r="C15" i="5"/>
  <c r="E14" i="5"/>
  <c r="G14" i="5" s="1"/>
  <c r="D9" i="5"/>
  <c r="D8" i="5"/>
  <c r="C9" i="5" s="1"/>
  <c r="D7" i="5"/>
  <c r="C8" i="5" s="1"/>
  <c r="D6" i="5"/>
  <c r="E6" i="5" s="1"/>
  <c r="G6" i="5" s="1"/>
  <c r="D5" i="5"/>
  <c r="C6" i="5" s="1"/>
  <c r="D4" i="5"/>
  <c r="C5" i="5" s="1"/>
  <c r="C8" i="2"/>
  <c r="D15" i="2"/>
  <c r="E8" i="5" l="1"/>
  <c r="G8" i="5" s="1"/>
  <c r="H19" i="5"/>
  <c r="H18" i="5"/>
  <c r="H17" i="5"/>
  <c r="H16" i="5"/>
  <c r="H15" i="5"/>
  <c r="E9" i="5"/>
  <c r="G9" i="5" s="1"/>
  <c r="C10" i="5"/>
  <c r="E4" i="5"/>
  <c r="G4" i="5" s="1"/>
  <c r="E5" i="5"/>
  <c r="G5" i="5" s="1"/>
  <c r="C7" i="5"/>
  <c r="E7" i="5" s="1"/>
  <c r="G7" i="5" s="1"/>
  <c r="C14" i="2"/>
  <c r="C29" i="2" s="1"/>
  <c r="D14" i="2"/>
  <c r="D29" i="2" s="1"/>
  <c r="C15" i="2"/>
  <c r="H9" i="5" l="1"/>
  <c r="H5" i="5"/>
  <c r="H7" i="5"/>
  <c r="H8" i="5"/>
  <c r="H6" i="5"/>
  <c r="D18" i="2"/>
  <c r="C18" i="2"/>
  <c r="B9" i="2"/>
  <c r="B8" i="2"/>
  <c r="D17" i="2" l="1"/>
  <c r="C17" i="2"/>
  <c r="D16" i="2"/>
  <c r="C16" i="2"/>
  <c r="C22" i="2" l="1"/>
  <c r="C23" i="2" s="1"/>
  <c r="C26" i="2" s="1"/>
  <c r="D22" i="2"/>
  <c r="D23" i="2" s="1"/>
  <c r="D26" i="2" s="1"/>
  <c r="C24" i="2"/>
  <c r="D24" i="2"/>
  <c r="B6" i="2"/>
  <c r="B4" i="2"/>
  <c r="C25" i="2" l="1"/>
  <c r="C28" i="2" s="1"/>
  <c r="D25" i="2"/>
  <c r="D28" i="2" s="1"/>
  <c r="M8" i="13"/>
  <c r="M19" i="13" s="1"/>
  <c r="K7" i="13"/>
  <c r="K19" i="13" l="1"/>
  <c r="T7" i="13"/>
  <c r="T19" i="13" s="1"/>
</calcChain>
</file>

<file path=xl/sharedStrings.xml><?xml version="1.0" encoding="utf-8"?>
<sst xmlns="http://schemas.openxmlformats.org/spreadsheetml/2006/main" count="1130" uniqueCount="183">
  <si>
    <t>محاسبه حقوق و دستمزد در اکسل برای سال 1400</t>
  </si>
  <si>
    <t>پاسخ به پرسش ها جهت محاسبه حقوق خود در سال 1400</t>
  </si>
  <si>
    <t>سابقه پرداخت حق بیمه شما چقدر است؟</t>
  </si>
  <si>
    <t xml:space="preserve">با توجه به اطلاعات فوق حقوق و مزایای  شما در سال 1400 به شرح زیر است </t>
  </si>
  <si>
    <t>حقوق و مزایا</t>
  </si>
  <si>
    <t>ماه 30 روزه</t>
  </si>
  <si>
    <t xml:space="preserve">ماه 31 روزه </t>
  </si>
  <si>
    <t xml:space="preserve">حقوق پایه </t>
  </si>
  <si>
    <t xml:space="preserve">حق اولاد </t>
  </si>
  <si>
    <t xml:space="preserve">آیا در سال 1399 حداقل پایه اداره کار را دریافت میکردید؟ </t>
  </si>
  <si>
    <t>جمع حقوق و مزایای مشمول بیمه</t>
  </si>
  <si>
    <t>جمع حقوق و مزایای مشمول مالیات</t>
  </si>
  <si>
    <t>حق بیمه سهم کارگر</t>
  </si>
  <si>
    <t>حقوق دریافتی</t>
  </si>
  <si>
    <t>مالیات پرداختنی</t>
  </si>
  <si>
    <t>سایر کسورات</t>
  </si>
  <si>
    <t>جمع کل حقوق و مزایا</t>
  </si>
  <si>
    <t>حق مسکن</t>
  </si>
  <si>
    <t>بن و خوار و بار</t>
  </si>
  <si>
    <t>پایه سنوات</t>
  </si>
  <si>
    <t>از حضور شما در شرکتی که در حال حاضر مشغول به کار هستید چقدر میگذرد؟</t>
  </si>
  <si>
    <t>حقوق یک ساعت اضافه کاری</t>
  </si>
  <si>
    <t>سایر موارد صرفا مشمول بیمه</t>
  </si>
  <si>
    <t>سایر موارد صرفا مشمول مالیات</t>
  </si>
  <si>
    <t>سایر موارد مشمول بیمه و مالیات</t>
  </si>
  <si>
    <t>بله</t>
  </si>
  <si>
    <t>کمتر از 720 روز</t>
  </si>
  <si>
    <t>سیراف حساب: مرکز فروش، آموزش و خدمات حسابداری و مالیات</t>
  </si>
  <si>
    <t>جهت اطلاع از جدید ترین مباحث مالی و مالیاتی در اینستاگرام سیراف حساب کلیک کنید</t>
  </si>
  <si>
    <t>درآمد ماهانه مشمول مالیات حقوق سال 1400
(ریال)</t>
  </si>
  <si>
    <t>نرخ
مالیات</t>
  </si>
  <si>
    <t>حداکثر مالیات هر طبقه
(ریال)</t>
  </si>
  <si>
    <t>تجمیعی
(ریال)</t>
  </si>
  <si>
    <t>طبقات مالیاتی</t>
  </si>
  <si>
    <t>از</t>
  </si>
  <si>
    <t>تا</t>
  </si>
  <si>
    <t>نسبت مازاد</t>
  </si>
  <si>
    <t>طبقه 1</t>
  </si>
  <si>
    <t>طبقه 2</t>
  </si>
  <si>
    <t>طبقه 3</t>
  </si>
  <si>
    <t>طبقه 4</t>
  </si>
  <si>
    <t>طبقه 5</t>
  </si>
  <si>
    <t>طبقه 6</t>
  </si>
  <si>
    <t>طبقه 7</t>
  </si>
  <si>
    <t>درآمد سالانه مشمول مالیات حقوق سال 1400
(ریال)</t>
  </si>
  <si>
    <t>ردیف</t>
  </si>
  <si>
    <t>موارد معاف از مالیات حقوق و دستمزد </t>
  </si>
  <si>
    <t>پنجاه درصد مالیات حقوق کارکنان شاغل در مناطق کمتر توسعه یافته : طبق ماده 92 قانون مالیات های مستقیم</t>
  </si>
  <si>
    <t>صد درصد حقوق پرسنل شاغل در مناطق آزاد تجاری: به استناد رای شماره 30/4/2090 مورخ 1374/03/24 هیئت عمومی شورای عالی مالیاتی و با توجه به مفاد ماده 13 قانون چگونگی اداره مناطق ازاد تجاری- صنعتی جمهوری اسلامی ایران</t>
  </si>
  <si>
    <t>دو هفتم بیمه سهم کارگراز حق بیمه طبق بخشنامه شماره 211/4385/19418 مورخ 1383/11/07</t>
  </si>
  <si>
    <t>و معافیت مالیات حقوق شامل تمام 13 بند ذکر شده در ماده 91 قانون مالیات های مستقیم که به شرح زیر است:</t>
  </si>
  <si>
    <t> روسا و اعضای مأموریت‌های سیاسی خارجی در ایران و روسا و اعضای هیأت‌های نمایندگی فوق‌العاده دول خارجی نسبت به درآمد حقوق دریافتی از دولت متبوع خود به شرط معامله متقابل و همچنین روسا و اعضای هیأت‌های نمایندگی سازمان ملل متحد و موسسات تخصصی آن در‌ایران نسبت به درآمد حقوق دریافتی از سازمان و موسسات مزبور در صورتی که تابع دولت جمهوری اسلامی ایران نباشند</t>
  </si>
  <si>
    <t>روسا و اعضای مأموریت‌های کنسولی خارجی در ایران و همچنین کارمندان موسسات فرهنگی دول خارجی نسبت درآمد حقوق دریافتی از دول متبوع خود به شرط معامله متقابل</t>
  </si>
  <si>
    <t>کارشناس خارجی که با موافقت دولت جمهوری اسلامی ایران از محل کمک‌های بلاعوض فنی و اقتصادی و علمی و فرهنگی دول خارجی و‌یا موسسات بین‌المللی به ایران اعزام می‌شوند نسبت به حقوق دریافتی آنان از دول متبوع یا موسسات بین‌المللی مذکور</t>
  </si>
  <si>
    <t>کارمندان محلی سفارتخانه‌ها و کنسولگریها و نمایندگی‌های دولت جمهوری اسلامی ایران در خارج نسبت به درآمد حقوق دریافتی از دولت‌ جمهوری اسلامی ایران در صورتی که دارای تابعیت دولت جمهوری اسلامی ایران نباشند به شرط معامله متقابل.</t>
  </si>
  <si>
    <t>حقوق بازنشستگی و وظیفه و مستمری و پایان خدمت و خسارت اخراج و بازخرید خدمت و وظیفه یا مستمری پرداختی به وراث و حق سنوات و حقوق ایام مرخصی استفاده نشده. (حق سنوات چه هرماه پرداخت شود و چه در پایان سال از مالیات بر حقوق معاف است. )</t>
  </si>
  <si>
    <t>هزینه سفر و فوق‌العاده مسافرت مربوط به شغل (فوق العاده ماموریت در صورتیکه مرتبط با فعالیت شرکت و ۵۰ کیلومتر از محل اصلی شرکت دور و یا ناچار به توقف شبانه جهت انجام کار موقت باشد)</t>
  </si>
  <si>
    <t>مسکن واگذاری در محل کارگاه یا کارخانه جهت استفاده کارگران و خانه‌های ارزان قیمت سازمانی در خارج از محل کارگاه یا کارخانه که مورد ‌استفاده کارگران قرار می­گیرد</t>
  </si>
  <si>
    <t>وجوه حاصل از بیمه بابت جبران خسارت بدنی و معالجه و امثال آن</t>
  </si>
  <si>
    <t>یک دوازدهم عیدی یعنی یک ماه عیدی از دوازده ماه کسر میگردد (موضوع ماده 84 این قانون‌)</t>
  </si>
  <si>
    <t>خانه‌های سازمانی که با اجازه قانونی یا به موجب آیین‌نامه‌های خاص در اختیار مأموران کشوری گذارده می‌شود.</t>
  </si>
  <si>
    <t>وجوهی که کارفرما بابت هزینه معالجه کارکنان خود یا افراد تحت تکفل آنها مستقیماً یا به وسیله حقوق بگیر به پزشک یا بیمارستان به استناد اسناد و مدارک مثبته پرداخت کند.</t>
  </si>
  <si>
    <t>دو دوازدهم مزایای غیرنقدی پرداختی به کارکنان</t>
  </si>
  <si>
    <t>حقوق پرسنل نیروهای مسلح جمهوری اسلامی ایران اعم از نظامی و انتظامی، مشمولان قانون استخدامی وزارت اطلاعات و جانبازان انقلاب اسلامی و جنگ تحمیلی و آزادگان</t>
  </si>
  <si>
    <t>مزایای رفاهی انگیزشی مثل حق اولاد و حق بن و حق مسکن و  ایاب ذهاب و مهدکودک و ... در حد متعارف</t>
  </si>
  <si>
    <t>مزایایی که مشمول کسر حق بیمه نیست ؟</t>
  </si>
  <si>
    <t>بازخرید ایام مرخصی</t>
  </si>
  <si>
    <t>هزینه عائله مندی</t>
  </si>
  <si>
    <t>هزینه سفر و فوق العاده مأموریت</t>
  </si>
  <si>
    <t>عیدی و پاداش پایان سال</t>
  </si>
  <si>
    <t>مابه التفاوت کمک هزینه مسکن و خواربار در ایام بیماری</t>
  </si>
  <si>
    <t>حق شیر</t>
  </si>
  <si>
    <t>پاداش نهضت سواد آموزی</t>
  </si>
  <si>
    <t>حق التضمین یا کسر صندوق</t>
  </si>
  <si>
    <t>خسارت اخراج و مزایای پایان کار</t>
  </si>
  <si>
    <t>پاداش افزایش تولید</t>
  </si>
  <si>
    <t>مشخصات حقوق و دستمزد سال 1400 با توجه به بخشنامه وزارت کار</t>
  </si>
  <si>
    <t>حداقل حقوق پایه روزانه</t>
  </si>
  <si>
    <t>حداقل حقوق ماهانه 30 روزه</t>
  </si>
  <si>
    <t>حق مسکن ماهانه 30 روز</t>
  </si>
  <si>
    <t>حق خواربار ماهانه 30 روز</t>
  </si>
  <si>
    <t>حق اولاد یک نفر ماهانه</t>
  </si>
  <si>
    <t xml:space="preserve">حق اولاد 2 نفر ماهانه </t>
  </si>
  <si>
    <t>پایه سنوات روزانه</t>
  </si>
  <si>
    <t>سنوات پایان خدمت</t>
  </si>
  <si>
    <t>حداقل عیدی</t>
  </si>
  <si>
    <t>حداکثر عیدی</t>
  </si>
  <si>
    <t>معافیت مالیاتی ماهانه حقوق</t>
  </si>
  <si>
    <t>مرخصی سالانه</t>
  </si>
  <si>
    <t>مرخصی ماهانه</t>
  </si>
  <si>
    <t>تعداد روزهای کاری در هفته</t>
  </si>
  <si>
    <t>متوسط ساعت کاری روزانه</t>
  </si>
  <si>
    <t>تعداد روز سال</t>
  </si>
  <si>
    <t xml:space="preserve">حداکثر حقوق مشمول بیمه </t>
  </si>
  <si>
    <t>شرکت نمونه</t>
  </si>
  <si>
    <t>جدول حقوق و دستمزد فروردین ماه  سال 1400</t>
  </si>
  <si>
    <t>نام</t>
  </si>
  <si>
    <t>نام خانوادگی</t>
  </si>
  <si>
    <t>کارکرد</t>
  </si>
  <si>
    <t xml:space="preserve">دستمزد روزانه </t>
  </si>
  <si>
    <t>حقوق پایه</t>
  </si>
  <si>
    <t xml:space="preserve">ساعت
اضافه کاری </t>
  </si>
  <si>
    <t>اضافه کاری</t>
  </si>
  <si>
    <t>تعداد
فرزندان</t>
  </si>
  <si>
    <t>حق اولاد</t>
  </si>
  <si>
    <t>حق خواربار</t>
  </si>
  <si>
    <t>جمع حقوق و مزایا</t>
  </si>
  <si>
    <t xml:space="preserve">جمع حقوق و مزایای
مشمول بیمه </t>
  </si>
  <si>
    <t>جمع حقوق و مزایای
مشمول مالیات</t>
  </si>
  <si>
    <t>وام</t>
  </si>
  <si>
    <t>مساعده</t>
  </si>
  <si>
    <t>حق بیمه
پرداختنی 7%</t>
  </si>
  <si>
    <t>مالیات
پرداختنی</t>
  </si>
  <si>
    <t>جمع کسورات</t>
  </si>
  <si>
    <t>خالص
قابل پرداخت</t>
  </si>
  <si>
    <t xml:space="preserve">مدت اضافه کاری </t>
  </si>
  <si>
    <t>تعداد فرزندان</t>
  </si>
  <si>
    <t>حق و خواروبار</t>
  </si>
  <si>
    <t>جمع ح و م</t>
  </si>
  <si>
    <t xml:space="preserve">جمع ح و م م بیمه </t>
  </si>
  <si>
    <t>جمع ح و م م مالیات</t>
  </si>
  <si>
    <t>بیمه پرداختنی</t>
  </si>
  <si>
    <t>خالص قابل پرداخت</t>
  </si>
  <si>
    <t>الف</t>
  </si>
  <si>
    <t>جمع</t>
  </si>
  <si>
    <t>جدول حقوق و دستمزد اردیبهشت ماه سال 1400</t>
  </si>
  <si>
    <t>ب</t>
  </si>
  <si>
    <t>جدول حقوق و دستمزد خرداد ماه  سال 1400</t>
  </si>
  <si>
    <t>جدول حقوق و دستمزد تیر ماه  سال 1400</t>
  </si>
  <si>
    <t>جدول حقوق و دستمزد مرداد ماه  سال 1400</t>
  </si>
  <si>
    <t>جدول حقوق و دستمزد شهریور ماه  سال 1400</t>
  </si>
  <si>
    <t>جدول حقوق و دستمزد مهر ماه سال 1400</t>
  </si>
  <si>
    <t>جدول حقوق و دستمزد آبان ماه سال 1400</t>
  </si>
  <si>
    <t>جدول حقوق و دستمزد آذر ماه سال 1400</t>
  </si>
  <si>
    <t>جدول حقوق و دستمزد دی ماه سال 1400</t>
  </si>
  <si>
    <t>جدول حقوق و دستمزد بهمن ماه سال 1400</t>
  </si>
  <si>
    <t>جدول حقوق و دستمزد اسفند ماه سال 1400</t>
  </si>
  <si>
    <t>جمع افقی</t>
  </si>
  <si>
    <t>اسفند</t>
  </si>
  <si>
    <t>بهمن</t>
  </si>
  <si>
    <t>دی</t>
  </si>
  <si>
    <t>آذر</t>
  </si>
  <si>
    <t>آبان</t>
  </si>
  <si>
    <t>مهر</t>
  </si>
  <si>
    <t>شهریور</t>
  </si>
  <si>
    <t>مرداد</t>
  </si>
  <si>
    <t>تیر</t>
  </si>
  <si>
    <t>خرداد</t>
  </si>
  <si>
    <t>اردیبهشت</t>
  </si>
  <si>
    <t>فروردین</t>
  </si>
  <si>
    <t>جدول تجمیعی حقوق و دستمزد سال 1400</t>
  </si>
  <si>
    <t>1400/12/29</t>
  </si>
  <si>
    <t>1400/11/30</t>
  </si>
  <si>
    <t>1400/10/30</t>
  </si>
  <si>
    <t>1400/09/30</t>
  </si>
  <si>
    <t>1400/08/30</t>
  </si>
  <si>
    <t>1400/07/30</t>
  </si>
  <si>
    <t>1400/06/31</t>
  </si>
  <si>
    <t>1400/05/31</t>
  </si>
  <si>
    <t>1400/04/31</t>
  </si>
  <si>
    <t>1400/03/31</t>
  </si>
  <si>
    <t>1400/02/31</t>
  </si>
  <si>
    <t>1400/01/31</t>
  </si>
  <si>
    <t>شماره قبض مالیات</t>
  </si>
  <si>
    <t>تاریخ ارسال لیست به اداره مالیات</t>
  </si>
  <si>
    <t>کل حق بیمه 30%</t>
  </si>
  <si>
    <t>سهم بیمه کارمند 7%</t>
  </si>
  <si>
    <t xml:space="preserve">جمع حقوق و مزایای مشمول مالیات </t>
  </si>
  <si>
    <t xml:space="preserve">جمع حقوق و مزایای مشمول بیمه </t>
  </si>
  <si>
    <t>شماره سند</t>
  </si>
  <si>
    <t>تاریخ سند</t>
  </si>
  <si>
    <t>شماره ماه</t>
  </si>
  <si>
    <t>ماه</t>
  </si>
  <si>
    <t>شماره
قبض مالیات</t>
  </si>
  <si>
    <t>تاریخ ارسال لیست
به اداره مالیات</t>
  </si>
  <si>
    <t>کل حق بیمه
30%</t>
  </si>
  <si>
    <t>سهم بیمه کارمند
7%</t>
  </si>
  <si>
    <t xml:space="preserve">جمع حقوق و مزایای
مشمول مالیات </t>
  </si>
  <si>
    <t>جدول حقوق و دستمزد سال 1400</t>
  </si>
  <si>
    <t/>
  </si>
  <si>
    <t>کمتر از یکسال</t>
  </si>
  <si>
    <t>برا ی دریافت به روز ترین  مطالب کاربردی حسابداری و مالیات در تلگرام سیراف حساب کلیک کنید</t>
  </si>
  <si>
    <t>جهت مطالعه توضیحات بیشتر در مورد این فایل و شرح کامل حقوق و دستمزد  روی این لینک کلیک کنید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</si>
</sst>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_(* \(#,##0.00\);_(* &quot;-&quot;??_);_(@_)"/>
    <numFmt numFmtId="165" formatCode="_(* #,##0_);_(* \(#,##0\);_(* &quot;-&quot;??_);_(@_)"/>
    <numFmt numFmtId="166" formatCode="[$-3000401]0%"/>
    <numFmt numFmtId="167" formatCode="_-* #,##0_-;_-* #,##0\-;_-* &quot;-&quot;??_-;_-@_-"/>
    <numFmt numFmtId="168" formatCode="#\ \ر\و\ز"/>
    <numFmt numFmtId="169" formatCode="[h]:mm"/>
    <numFmt numFmtId="170" formatCode="\ #,##0;\ \(#,##0\)"/>
    <numFmt numFmtId="171" formatCode="_-* #,##0.00_-;_-* #,##0.00\-;_-* &quot;-&quot;??_-;_-@_-"/>
    <numFmt numFmtId="172" formatCode="\ @"/>
    <numFmt numFmtId="173" formatCode="00"/>
    <numFmt numFmtId="174" formatCode="\ 0"/>
    <numFmt numFmtId="175" formatCode="\ 00"/>
  </numFmts>
  <fonts count="38">
    <font>
      <sz val="11"/>
      <color theme="1"/>
      <name val="Calibri"/>
      <family val="2"/>
      <scheme val="minor"/>
    </font>
    <font>
      <sz val="11"/>
      <color theme="1"/>
      <name val="Calibri"/>
      <family val="2"/>
      <charset val="178"/>
      <scheme val="minor"/>
    </font>
    <font>
      <sz val="11"/>
      <color theme="1"/>
      <name val="Calibri"/>
      <family val="2"/>
      <scheme val="minor"/>
    </font>
    <font>
      <sz val="12"/>
      <color theme="1"/>
      <name val="B Nazanin"/>
      <charset val="178"/>
    </font>
    <font>
      <b/>
      <sz val="16"/>
      <color theme="4" tint="-0.499984740745262"/>
      <name val="B Nazanin"/>
      <charset val="178"/>
    </font>
    <font>
      <sz val="13"/>
      <color theme="4" tint="-0.499984740745262"/>
      <name val="B Nazanin"/>
      <charset val="178"/>
    </font>
    <font>
      <sz val="13"/>
      <color theme="1"/>
      <name val="B Nazanin"/>
      <charset val="178"/>
    </font>
    <font>
      <b/>
      <sz val="13"/>
      <color theme="4" tint="-0.499984740745262"/>
      <name val="B Nazanin"/>
      <charset val="178"/>
    </font>
    <font>
      <u/>
      <sz val="11"/>
      <color theme="10"/>
      <name val="Calibri"/>
      <family val="2"/>
      <charset val="178"/>
      <scheme val="minor"/>
    </font>
    <font>
      <b/>
      <sz val="14"/>
      <color theme="4" tint="-0.499984740745262"/>
      <name val="B Titr"/>
      <charset val="178"/>
    </font>
    <font>
      <b/>
      <sz val="13"/>
      <color theme="5"/>
      <name val="B Nazanin"/>
      <charset val="178"/>
    </font>
    <font>
      <b/>
      <sz val="14"/>
      <color theme="4" tint="-0.499984740745262"/>
      <name val="B Lotus"/>
      <charset val="178"/>
    </font>
    <font>
      <sz val="14"/>
      <color theme="4" tint="-0.499984740745262"/>
      <name val="B Nazanin"/>
      <charset val="178"/>
    </font>
    <font>
      <b/>
      <sz val="13"/>
      <color rgb="FF002060"/>
      <name val="B Nazanin"/>
      <charset val="178"/>
    </font>
    <font>
      <sz val="11"/>
      <color theme="1"/>
      <name val="B Nazanin"/>
      <charset val="178"/>
    </font>
    <font>
      <b/>
      <sz val="14"/>
      <color theme="1"/>
      <name val="B Nazanin"/>
      <charset val="178"/>
    </font>
    <font>
      <b/>
      <sz val="12"/>
      <color rgb="FF000000"/>
      <name val="B Nazanin"/>
      <charset val="178"/>
    </font>
    <font>
      <sz val="12"/>
      <color rgb="FF000000"/>
      <name val="B Nazanin"/>
      <charset val="178"/>
    </font>
    <font>
      <b/>
      <sz val="16"/>
      <name val="B Nazanin"/>
      <charset val="178"/>
    </font>
    <font>
      <sz val="12"/>
      <name val="B Nazanin"/>
      <charset val="178"/>
    </font>
    <font>
      <b/>
      <sz val="14"/>
      <name val="B Nazanin"/>
      <charset val="178"/>
    </font>
    <font>
      <sz val="11"/>
      <color theme="1"/>
      <name val="Sahel SMD"/>
      <family val="2"/>
    </font>
    <font>
      <b/>
      <sz val="22"/>
      <name val="Sahel SMD"/>
      <family val="2"/>
    </font>
    <font>
      <b/>
      <sz val="26"/>
      <name val="Sahel SMD"/>
      <family val="2"/>
    </font>
    <font>
      <sz val="14"/>
      <color theme="1"/>
      <name val="Sahel SMD"/>
      <family val="2"/>
    </font>
    <font>
      <b/>
      <sz val="14"/>
      <name val="Sahel SMD"/>
      <family val="2"/>
    </font>
    <font>
      <sz val="14"/>
      <color theme="0" tint="-0.14999847407452621"/>
      <name val="Sahel SMD"/>
      <family val="2"/>
    </font>
    <font>
      <sz val="18"/>
      <color theme="1"/>
      <name val="Sahel SMD"/>
      <family val="2"/>
    </font>
    <font>
      <sz val="18"/>
      <name val="Sahel SMD"/>
      <family val="2"/>
    </font>
    <font>
      <sz val="14"/>
      <name val="Sahel SMD"/>
      <family val="2"/>
    </font>
    <font>
      <sz val="14"/>
      <name val="Sahel SMD"/>
    </font>
    <font>
      <sz val="16"/>
      <color theme="1"/>
      <name val="Sahel SMD"/>
      <family val="2"/>
    </font>
    <font>
      <sz val="16"/>
      <name val="Sahel SMD"/>
      <family val="2"/>
    </font>
    <font>
      <sz val="16"/>
      <color theme="0" tint="-0.14999847407452621"/>
      <name val="Sahel SMD"/>
      <family val="2"/>
    </font>
    <font>
      <b/>
      <sz val="16"/>
      <name val="Sahel SMD"/>
      <family val="2"/>
    </font>
    <font>
      <sz val="14"/>
      <color theme="1"/>
      <name val="B Nazanin"/>
      <charset val="178"/>
    </font>
    <font>
      <sz val="18"/>
      <color theme="0"/>
      <name val="2  Davat"/>
      <charset val="178"/>
    </font>
    <font>
      <sz val="16"/>
      <color theme="0"/>
      <name val="2  Davat"/>
      <charset val="178"/>
    </font>
  </fonts>
  <fills count="1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9" tint="0.39997558519241921"/>
        <bgColor indexed="64"/>
      </patternFill>
    </fill>
    <fill>
      <patternFill patternType="solid">
        <fgColor theme="7" tint="0.79998168889431442"/>
        <bgColor indexed="64"/>
      </patternFill>
    </fill>
    <fill>
      <gradientFill degree="45">
        <stop position="0">
          <color theme="0"/>
        </stop>
        <stop position="1">
          <color theme="6" tint="0.40000610370189521"/>
        </stop>
      </gradientFill>
    </fill>
    <fill>
      <patternFill patternType="solid">
        <fgColor theme="0"/>
        <bgColor indexed="64"/>
      </patternFill>
    </fill>
    <fill>
      <gradientFill degree="45">
        <stop position="0">
          <color theme="0"/>
        </stop>
        <stop position="1">
          <color theme="7" tint="0.59999389629810485"/>
        </stop>
      </gradientFill>
    </fill>
    <fill>
      <gradientFill degree="45">
        <stop position="0">
          <color theme="0"/>
        </stop>
        <stop position="1">
          <color rgb="FFFFFF00"/>
        </stop>
      </gradientFill>
    </fill>
    <fill>
      <gradientFill degree="45">
        <stop position="0">
          <color theme="0"/>
        </stop>
        <stop position="1">
          <color theme="9" tint="0.40000610370189521"/>
        </stop>
      </gradientFill>
    </fill>
    <fill>
      <gradientFill degree="45">
        <stop position="0">
          <color theme="0"/>
        </stop>
        <stop position="1">
          <color theme="8" tint="0.59999389629810485"/>
        </stop>
      </gradientFill>
    </fill>
  </fills>
  <borders count="18">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theme="7"/>
      </left>
      <right style="thin">
        <color theme="7"/>
      </right>
      <top style="thin">
        <color theme="7"/>
      </top>
      <bottom style="thin">
        <color theme="7"/>
      </bottom>
      <diagonal/>
    </border>
    <border>
      <left style="thin">
        <color theme="7"/>
      </left>
      <right style="thin">
        <color theme="7"/>
      </right>
      <top/>
      <bottom style="thin">
        <color theme="7"/>
      </bottom>
      <diagonal/>
    </border>
    <border>
      <left style="thin">
        <color theme="7"/>
      </left>
      <right style="thin">
        <color theme="7"/>
      </right>
      <top style="thin">
        <color theme="7"/>
      </top>
      <bottom/>
      <diagonal/>
    </border>
  </borders>
  <cellStyleXfs count="5">
    <xf numFmtId="0" fontId="0" fillId="0" borderId="0"/>
    <xf numFmtId="164" fontId="2" fillId="0" borderId="0" applyFont="0" applyFill="0" applyBorder="0" applyAlignment="0" applyProtection="0"/>
    <xf numFmtId="0" fontId="8" fillId="0" borderId="0" applyNumberFormat="0" applyFill="0" applyBorder="0" applyAlignment="0" applyProtection="0"/>
    <xf numFmtId="0" fontId="1" fillId="0" borderId="0"/>
    <xf numFmtId="171" fontId="1" fillId="0" borderId="0" applyFont="0" applyFill="0" applyBorder="0" applyAlignment="0" applyProtection="0"/>
  </cellStyleXfs>
  <cellXfs count="132">
    <xf numFmtId="0" fontId="0" fillId="0" borderId="0" xfId="0"/>
    <xf numFmtId="165" fontId="5" fillId="2" borderId="1" xfId="1" applyNumberFormat="1" applyFont="1" applyFill="1" applyBorder="1" applyAlignment="1" applyProtection="1">
      <alignment horizontal="center" vertical="center"/>
      <protection hidden="1"/>
    </xf>
    <xf numFmtId="0" fontId="3"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165" fontId="5" fillId="0" borderId="0" xfId="1" applyNumberFormat="1" applyFont="1" applyAlignment="1" applyProtection="1">
      <alignment horizontal="center" vertical="center"/>
      <protection locked="0"/>
    </xf>
    <xf numFmtId="0" fontId="5" fillId="6" borderId="1" xfId="0" applyFont="1" applyFill="1" applyBorder="1" applyAlignment="1" applyProtection="1">
      <alignment horizontal="center" vertical="center"/>
      <protection hidden="1"/>
    </xf>
    <xf numFmtId="0" fontId="6" fillId="0" borderId="0" xfId="0" applyFont="1" applyAlignment="1" applyProtection="1">
      <alignment horizontal="center" vertical="center"/>
    </xf>
    <xf numFmtId="0" fontId="3" fillId="0" borderId="0" xfId="0" applyFont="1" applyAlignment="1" applyProtection="1">
      <alignment horizontal="center" vertical="center"/>
    </xf>
    <xf numFmtId="164" fontId="6" fillId="0" borderId="0" xfId="0" applyNumberFormat="1" applyFont="1" applyAlignment="1" applyProtection="1">
      <alignment horizontal="center" vertical="center"/>
    </xf>
    <xf numFmtId="0" fontId="12" fillId="7" borderId="1" xfId="0" applyFont="1" applyFill="1" applyBorder="1" applyAlignment="1" applyProtection="1">
      <alignment horizontal="center" vertical="center"/>
    </xf>
    <xf numFmtId="0" fontId="7" fillId="0" borderId="1" xfId="0" applyFont="1" applyBorder="1" applyAlignment="1" applyProtection="1">
      <alignment horizontal="center" vertical="center"/>
      <protection hidden="1"/>
    </xf>
    <xf numFmtId="0" fontId="11" fillId="4" borderId="1"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14" fillId="0" borderId="0" xfId="0" applyFont="1" applyAlignment="1">
      <alignment horizontal="center" vertical="center" readingOrder="2"/>
    </xf>
    <xf numFmtId="0" fontId="15" fillId="0" borderId="2" xfId="0" applyFont="1" applyBorder="1" applyAlignment="1">
      <alignment horizontal="center" vertical="center" readingOrder="2"/>
    </xf>
    <xf numFmtId="0" fontId="6" fillId="0" borderId="2" xfId="0" applyFont="1" applyBorder="1" applyAlignment="1">
      <alignment horizontal="center" vertical="center" readingOrder="2"/>
    </xf>
    <xf numFmtId="3" fontId="6" fillId="0" borderId="2" xfId="0" applyNumberFormat="1" applyFont="1" applyBorder="1" applyAlignment="1">
      <alignment horizontal="center" vertical="center" readingOrder="2"/>
    </xf>
    <xf numFmtId="166" fontId="6" fillId="0" borderId="2" xfId="0" applyNumberFormat="1" applyFont="1" applyBorder="1" applyAlignment="1">
      <alignment horizontal="center" vertical="center" readingOrder="2"/>
    </xf>
    <xf numFmtId="167" fontId="6" fillId="0" borderId="2" xfId="1" applyNumberFormat="1" applyFont="1" applyBorder="1" applyAlignment="1">
      <alignment horizontal="center" vertical="center" readingOrder="2"/>
    </xf>
    <xf numFmtId="0" fontId="14" fillId="0" borderId="0" xfId="0" applyFont="1" applyAlignment="1">
      <alignment horizontal="right" vertical="center" readingOrder="2"/>
    </xf>
    <xf numFmtId="0" fontId="16" fillId="9"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right" vertical="center" wrapText="1"/>
    </xf>
    <xf numFmtId="0" fontId="19" fillId="9" borderId="7" xfId="0" applyFont="1" applyFill="1" applyBorder="1" applyAlignment="1">
      <alignment horizontal="center" vertical="center"/>
    </xf>
    <xf numFmtId="0" fontId="19" fillId="9" borderId="8" xfId="0" applyFont="1" applyFill="1" applyBorder="1" applyAlignment="1">
      <alignment horizontal="center" vertical="center"/>
    </xf>
    <xf numFmtId="0" fontId="19" fillId="9" borderId="9" xfId="0" applyFont="1" applyFill="1" applyBorder="1" applyAlignment="1">
      <alignment horizontal="center" vertical="center"/>
    </xf>
    <xf numFmtId="0" fontId="19" fillId="2" borderId="2" xfId="0" applyFont="1" applyFill="1" applyBorder="1" applyAlignment="1">
      <alignment horizontal="right" vertical="center" indent="1"/>
    </xf>
    <xf numFmtId="0" fontId="19" fillId="2" borderId="3" xfId="0" applyFont="1" applyFill="1" applyBorder="1" applyAlignment="1">
      <alignment horizontal="right" vertical="center" indent="1"/>
    </xf>
    <xf numFmtId="0" fontId="19" fillId="2" borderId="13" xfId="0" applyFont="1" applyFill="1" applyBorder="1" applyAlignment="1">
      <alignment horizontal="right" vertical="center" indent="1"/>
    </xf>
    <xf numFmtId="0" fontId="19" fillId="10" borderId="10" xfId="0" applyFont="1" applyFill="1" applyBorder="1" applyAlignment="1">
      <alignment horizontal="center" vertical="center"/>
    </xf>
    <xf numFmtId="0" fontId="19" fillId="10" borderId="12" xfId="0" applyFont="1" applyFill="1" applyBorder="1" applyAlignment="1">
      <alignment horizontal="center" vertical="center"/>
    </xf>
    <xf numFmtId="0" fontId="21" fillId="0" borderId="0" xfId="3" applyFont="1" applyAlignment="1">
      <alignment horizontal="right" vertical="center" readingOrder="2"/>
    </xf>
    <xf numFmtId="0" fontId="21" fillId="0" borderId="0" xfId="3" applyFont="1" applyAlignment="1">
      <alignment horizontal="center" vertical="center" readingOrder="2"/>
    </xf>
    <xf numFmtId="0" fontId="21" fillId="0" borderId="0" xfId="3" applyFont="1" applyAlignment="1" applyProtection="1">
      <alignment horizontal="center" vertical="center" readingOrder="2"/>
      <protection locked="0"/>
    </xf>
    <xf numFmtId="0" fontId="24" fillId="0" borderId="0" xfId="3" applyFont="1" applyAlignment="1">
      <alignment horizontal="center" vertical="center" readingOrder="2"/>
    </xf>
    <xf numFmtId="0" fontId="25" fillId="12" borderId="15" xfId="3" applyFont="1" applyFill="1" applyBorder="1" applyAlignment="1">
      <alignment horizontal="center" vertical="center" wrapText="1" readingOrder="2"/>
    </xf>
    <xf numFmtId="0" fontId="25" fillId="12" borderId="15" xfId="3" applyFont="1" applyFill="1" applyBorder="1" applyAlignment="1">
      <alignment horizontal="center" vertical="center" readingOrder="2"/>
    </xf>
    <xf numFmtId="0" fontId="25" fillId="12" borderId="15" xfId="3" applyFont="1" applyFill="1" applyBorder="1" applyAlignment="1" applyProtection="1">
      <alignment horizontal="center" vertical="center" readingOrder="2"/>
      <protection hidden="1"/>
    </xf>
    <xf numFmtId="0" fontId="26" fillId="3" borderId="0" xfId="3" applyFont="1" applyFill="1" applyAlignment="1">
      <alignment horizontal="center" vertical="center" readingOrder="2"/>
    </xf>
    <xf numFmtId="167" fontId="26" fillId="3" borderId="0" xfId="4" applyNumberFormat="1" applyFont="1" applyFill="1" applyAlignment="1">
      <alignment horizontal="center" vertical="center" readingOrder="2"/>
    </xf>
    <xf numFmtId="0" fontId="27" fillId="0" borderId="0" xfId="3" applyFont="1" applyAlignment="1">
      <alignment horizontal="right" vertical="center" readingOrder="2"/>
    </xf>
    <xf numFmtId="1" fontId="28" fillId="0" borderId="0" xfId="3" applyNumberFormat="1" applyFont="1" applyAlignment="1">
      <alignment horizontal="center" vertical="center" shrinkToFit="1" readingOrder="2"/>
    </xf>
    <xf numFmtId="172" fontId="28" fillId="0" borderId="0" xfId="3" applyNumberFormat="1" applyFont="1" applyAlignment="1" applyProtection="1">
      <alignment horizontal="right" vertical="center" shrinkToFit="1" readingOrder="2"/>
      <protection locked="0"/>
    </xf>
    <xf numFmtId="173" fontId="28" fillId="0" borderId="0" xfId="3" applyNumberFormat="1" applyFont="1" applyAlignment="1" applyProtection="1">
      <alignment horizontal="center" vertical="center" shrinkToFit="1" readingOrder="2"/>
      <protection locked="0"/>
    </xf>
    <xf numFmtId="170" fontId="28" fillId="0" borderId="0" xfId="4" applyNumberFormat="1" applyFont="1" applyAlignment="1" applyProtection="1">
      <alignment horizontal="right" vertical="center" shrinkToFit="1" readingOrder="2"/>
      <protection locked="0"/>
    </xf>
    <xf numFmtId="170" fontId="28" fillId="0" borderId="0" xfId="4" applyNumberFormat="1" applyFont="1" applyAlignment="1">
      <alignment horizontal="right" vertical="center" shrinkToFit="1" readingOrder="2"/>
    </xf>
    <xf numFmtId="2" fontId="28" fillId="0" borderId="0" xfId="4" applyNumberFormat="1" applyFont="1" applyAlignment="1" applyProtection="1">
      <alignment horizontal="center" vertical="center" shrinkToFit="1" readingOrder="2"/>
      <protection locked="0"/>
    </xf>
    <xf numFmtId="170" fontId="28" fillId="0" borderId="0" xfId="4" applyNumberFormat="1" applyFont="1" applyAlignment="1">
      <alignment horizontal="center" vertical="center" shrinkToFit="1" readingOrder="2"/>
    </xf>
    <xf numFmtId="174" fontId="28" fillId="0" borderId="0" xfId="4" applyNumberFormat="1" applyFont="1" applyAlignment="1" applyProtection="1">
      <alignment horizontal="right" vertical="center" shrinkToFit="1" readingOrder="2"/>
      <protection locked="0"/>
    </xf>
    <xf numFmtId="170" fontId="28" fillId="0" borderId="0" xfId="3" applyNumberFormat="1" applyFont="1" applyAlignment="1">
      <alignment horizontal="right" vertical="center" shrinkToFit="1" readingOrder="2"/>
    </xf>
    <xf numFmtId="1" fontId="29" fillId="13" borderId="0" xfId="3" applyNumberFormat="1" applyFont="1" applyFill="1" applyAlignment="1">
      <alignment horizontal="right" vertical="center" shrinkToFit="1" readingOrder="2"/>
    </xf>
    <xf numFmtId="0" fontId="29" fillId="13" borderId="0" xfId="3" applyFont="1" applyFill="1" applyAlignment="1">
      <alignment horizontal="center" vertical="center" shrinkToFit="1" readingOrder="2"/>
    </xf>
    <xf numFmtId="175" fontId="29" fillId="13" borderId="0" xfId="3" applyNumberFormat="1" applyFont="1" applyFill="1" applyAlignment="1">
      <alignment horizontal="right" vertical="center" shrinkToFit="1" readingOrder="2"/>
    </xf>
    <xf numFmtId="170" fontId="29" fillId="13" borderId="0" xfId="3" applyNumberFormat="1" applyFont="1" applyFill="1" applyAlignment="1">
      <alignment horizontal="right" vertical="center" shrinkToFit="1" readingOrder="2"/>
    </xf>
    <xf numFmtId="49" fontId="29" fillId="13" borderId="0" xfId="3" applyNumberFormat="1" applyFont="1" applyFill="1" applyAlignment="1">
      <alignment horizontal="center" vertical="center" shrinkToFit="1" readingOrder="2"/>
    </xf>
    <xf numFmtId="170" fontId="29" fillId="13" borderId="0" xfId="3" applyNumberFormat="1" applyFont="1" applyFill="1" applyAlignment="1">
      <alignment horizontal="center" vertical="center" shrinkToFit="1" readingOrder="2"/>
    </xf>
    <xf numFmtId="174" fontId="29" fillId="13" borderId="0" xfId="3" applyNumberFormat="1" applyFont="1" applyFill="1" applyAlignment="1">
      <alignment horizontal="right" vertical="center" shrinkToFit="1" readingOrder="2"/>
    </xf>
    <xf numFmtId="1" fontId="30" fillId="13" borderId="0" xfId="3" applyNumberFormat="1" applyFont="1" applyFill="1" applyAlignment="1">
      <alignment horizontal="right" vertical="center" shrinkToFit="1" readingOrder="2"/>
    </xf>
    <xf numFmtId="0" fontId="30" fillId="13" borderId="0" xfId="3" applyFont="1" applyFill="1" applyAlignment="1">
      <alignment horizontal="center" vertical="center" shrinkToFit="1" readingOrder="2"/>
    </xf>
    <xf numFmtId="175" fontId="30" fillId="13" borderId="0" xfId="3" applyNumberFormat="1" applyFont="1" applyFill="1" applyAlignment="1">
      <alignment horizontal="right" vertical="center" shrinkToFit="1" readingOrder="2"/>
    </xf>
    <xf numFmtId="170" fontId="30" fillId="13" borderId="0" xfId="3" applyNumberFormat="1" applyFont="1" applyFill="1" applyAlignment="1">
      <alignment horizontal="right" vertical="center" shrinkToFit="1" readingOrder="2"/>
    </xf>
    <xf numFmtId="49" fontId="30" fillId="13" borderId="0" xfId="3" applyNumberFormat="1" applyFont="1" applyFill="1" applyAlignment="1">
      <alignment horizontal="center" vertical="center" shrinkToFit="1" readingOrder="2"/>
    </xf>
    <xf numFmtId="170" fontId="30" fillId="13" borderId="0" xfId="3" applyNumberFormat="1" applyFont="1" applyFill="1" applyAlignment="1">
      <alignment horizontal="center" vertical="center" shrinkToFit="1" readingOrder="2"/>
    </xf>
    <xf numFmtId="174" fontId="30" fillId="13" borderId="0" xfId="3" applyNumberFormat="1" applyFont="1" applyFill="1" applyAlignment="1">
      <alignment horizontal="right" vertical="center" shrinkToFit="1" readingOrder="2"/>
    </xf>
    <xf numFmtId="1" fontId="29" fillId="0" borderId="0" xfId="3" applyNumberFormat="1" applyFont="1" applyAlignment="1">
      <alignment horizontal="center" vertical="center" shrinkToFit="1" readingOrder="2"/>
    </xf>
    <xf numFmtId="170" fontId="29" fillId="0" borderId="0" xfId="4" applyNumberFormat="1" applyFont="1" applyAlignment="1">
      <alignment horizontal="right" vertical="center" shrinkToFit="1" readingOrder="2"/>
    </xf>
    <xf numFmtId="170" fontId="29" fillId="0" borderId="0" xfId="4" applyNumberFormat="1" applyFont="1" applyAlignment="1">
      <alignment horizontal="center" vertical="center" shrinkToFit="1" readingOrder="2"/>
    </xf>
    <xf numFmtId="174" fontId="29" fillId="0" borderId="0" xfId="4" applyNumberFormat="1" applyFont="1" applyAlignment="1" applyProtection="1">
      <alignment horizontal="right" vertical="center" shrinkToFit="1" readingOrder="2"/>
      <protection locked="0"/>
    </xf>
    <xf numFmtId="170" fontId="29" fillId="0" borderId="0" xfId="4" applyNumberFormat="1" applyFont="1" applyAlignment="1" applyProtection="1">
      <alignment horizontal="right" vertical="center" shrinkToFit="1" readingOrder="2"/>
      <protection locked="0"/>
    </xf>
    <xf numFmtId="170" fontId="29" fillId="0" borderId="0" xfId="3" applyNumberFormat="1" applyFont="1" applyAlignment="1">
      <alignment horizontal="right" vertical="center" shrinkToFit="1" readingOrder="2"/>
    </xf>
    <xf numFmtId="172" fontId="29" fillId="0" borderId="0" xfId="3" applyNumberFormat="1" applyFont="1" applyAlignment="1" applyProtection="1">
      <alignment horizontal="right" vertical="center" shrinkToFit="1" readingOrder="2"/>
      <protection locked="0"/>
    </xf>
    <xf numFmtId="0" fontId="31" fillId="0" borderId="0" xfId="3" applyFont="1" applyAlignment="1">
      <alignment horizontal="right" vertical="center" readingOrder="2"/>
    </xf>
    <xf numFmtId="170" fontId="32" fillId="13" borderId="0" xfId="3" applyNumberFormat="1" applyFont="1" applyFill="1" applyAlignment="1">
      <alignment horizontal="right" vertical="center" shrinkToFit="1" readingOrder="2"/>
    </xf>
    <xf numFmtId="0" fontId="32" fillId="13" borderId="0" xfId="3" applyFont="1" applyFill="1" applyAlignment="1">
      <alignment horizontal="center" vertical="center" shrinkToFit="1" readingOrder="2"/>
    </xf>
    <xf numFmtId="1" fontId="32" fillId="13" borderId="0" xfId="3" applyNumberFormat="1" applyFont="1" applyFill="1" applyAlignment="1">
      <alignment horizontal="right" vertical="center" shrinkToFit="1" readingOrder="2"/>
    </xf>
    <xf numFmtId="170" fontId="32" fillId="0" borderId="0" xfId="4" applyNumberFormat="1" applyFont="1" applyAlignment="1">
      <alignment horizontal="right" vertical="center" shrinkToFit="1" readingOrder="2"/>
    </xf>
    <xf numFmtId="170" fontId="32" fillId="0" borderId="0" xfId="3" applyNumberFormat="1" applyFont="1" applyAlignment="1">
      <alignment horizontal="right" vertical="center" shrinkToFit="1" readingOrder="2"/>
    </xf>
    <xf numFmtId="1" fontId="32" fillId="0" borderId="0" xfId="3" applyNumberFormat="1" applyFont="1" applyAlignment="1" applyProtection="1">
      <alignment horizontal="right" vertical="center" shrinkToFit="1" readingOrder="2"/>
      <protection locked="0"/>
    </xf>
    <xf numFmtId="172" fontId="32" fillId="0" borderId="0" xfId="3" applyNumberFormat="1" applyFont="1" applyAlignment="1" applyProtection="1">
      <alignment horizontal="center" vertical="center" shrinkToFit="1" readingOrder="2"/>
      <protection locked="0"/>
    </xf>
    <xf numFmtId="0" fontId="32" fillId="0" borderId="0" xfId="3" applyFont="1" applyAlignment="1">
      <alignment horizontal="center" vertical="center" shrinkToFit="1" readingOrder="2"/>
    </xf>
    <xf numFmtId="172" fontId="32" fillId="0" borderId="0" xfId="3" applyNumberFormat="1" applyFont="1" applyAlignment="1">
      <alignment horizontal="right" vertical="center" shrinkToFit="1" readingOrder="2"/>
    </xf>
    <xf numFmtId="0" fontId="31" fillId="0" borderId="0" xfId="3" applyFont="1" applyAlignment="1">
      <alignment horizontal="center" vertical="center" readingOrder="2"/>
    </xf>
    <xf numFmtId="0" fontId="33" fillId="3" borderId="0" xfId="3" applyFont="1" applyFill="1" applyAlignment="1">
      <alignment horizontal="center" vertical="center" readingOrder="2"/>
    </xf>
    <xf numFmtId="0" fontId="31" fillId="0" borderId="0" xfId="3" applyFont="1" applyAlignment="1" applyProtection="1">
      <alignment horizontal="center" vertical="center" readingOrder="2"/>
      <protection locked="0"/>
    </xf>
    <xf numFmtId="0" fontId="13" fillId="0" borderId="1" xfId="0" applyFont="1" applyBorder="1" applyAlignment="1" applyProtection="1">
      <alignment horizontal="center" vertical="center"/>
      <protection locked="0" hidden="1"/>
    </xf>
    <xf numFmtId="0" fontId="5" fillId="0" borderId="0" xfId="0" applyFont="1" applyAlignment="1" applyProtection="1">
      <alignment horizontal="center" vertical="center"/>
    </xf>
    <xf numFmtId="3" fontId="35" fillId="2" borderId="11" xfId="0" applyNumberFormat="1" applyFont="1" applyFill="1" applyBorder="1" applyAlignment="1">
      <alignment horizontal="right" vertical="center" indent="1"/>
    </xf>
    <xf numFmtId="168" fontId="35" fillId="2" borderId="11" xfId="0" applyNumberFormat="1" applyFont="1" applyFill="1" applyBorder="1" applyAlignment="1">
      <alignment horizontal="right" vertical="center" indent="1" readingOrder="2"/>
    </xf>
    <xf numFmtId="169" fontId="35" fillId="2" borderId="11" xfId="0" applyNumberFormat="1" applyFont="1" applyFill="1" applyBorder="1" applyAlignment="1">
      <alignment horizontal="right" vertical="center" indent="1"/>
    </xf>
    <xf numFmtId="0" fontId="35" fillId="2" borderId="11" xfId="0" applyFont="1" applyFill="1" applyBorder="1" applyAlignment="1">
      <alignment horizontal="right" vertical="center" indent="1"/>
    </xf>
    <xf numFmtId="170" fontId="35" fillId="2" borderId="14" xfId="0" applyNumberFormat="1" applyFont="1" applyFill="1" applyBorder="1" applyAlignment="1">
      <alignment horizontal="right" vertical="center" indent="1"/>
    </xf>
    <xf numFmtId="0" fontId="0" fillId="0" borderId="0" xfId="0" applyAlignment="1">
      <alignment horizontal="center"/>
    </xf>
    <xf numFmtId="0" fontId="9" fillId="4" borderId="1" xfId="0" applyFont="1" applyFill="1" applyBorder="1" applyAlignment="1" applyProtection="1">
      <alignment horizontal="center" vertical="center"/>
    </xf>
    <xf numFmtId="0" fontId="4" fillId="5" borderId="1" xfId="0" applyFont="1" applyFill="1" applyBorder="1" applyAlignment="1" applyProtection="1">
      <alignment horizontal="center" vertical="center"/>
    </xf>
    <xf numFmtId="0" fontId="15" fillId="6" borderId="3" xfId="0" applyFont="1" applyFill="1" applyBorder="1" applyAlignment="1">
      <alignment horizontal="center" vertical="center" wrapText="1" readingOrder="2"/>
    </xf>
    <xf numFmtId="0" fontId="15" fillId="6" borderId="4" xfId="0" applyFont="1" applyFill="1" applyBorder="1" applyAlignment="1">
      <alignment horizontal="center" vertical="center" wrapText="1" readingOrder="2"/>
    </xf>
    <xf numFmtId="0" fontId="15" fillId="6" borderId="2" xfId="0" applyFont="1" applyFill="1" applyBorder="1" applyAlignment="1">
      <alignment horizontal="center" vertical="center" wrapText="1" readingOrder="2"/>
    </xf>
    <xf numFmtId="0" fontId="15" fillId="6" borderId="2" xfId="0" applyFont="1" applyFill="1" applyBorder="1" applyAlignment="1">
      <alignment horizontal="center" vertical="center" readingOrder="2"/>
    </xf>
    <xf numFmtId="0" fontId="20" fillId="9" borderId="7" xfId="0" applyFont="1" applyFill="1" applyBorder="1" applyAlignment="1">
      <alignment horizontal="center" vertical="center"/>
    </xf>
    <xf numFmtId="0" fontId="18" fillId="9" borderId="8" xfId="0" applyFont="1" applyFill="1" applyBorder="1" applyAlignment="1">
      <alignment horizontal="center" vertical="center"/>
    </xf>
    <xf numFmtId="0" fontId="18" fillId="9" borderId="9" xfId="0" applyFont="1" applyFill="1" applyBorder="1" applyAlignment="1">
      <alignment horizontal="center" vertical="center"/>
    </xf>
    <xf numFmtId="0" fontId="17" fillId="9" borderId="5"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25" fillId="12" borderId="15" xfId="3" applyFont="1" applyFill="1" applyBorder="1" applyAlignment="1">
      <alignment horizontal="center" vertical="center" wrapText="1" readingOrder="2"/>
    </xf>
    <xf numFmtId="0" fontId="22" fillId="15" borderId="0" xfId="3" applyFont="1" applyFill="1" applyAlignment="1" applyProtection="1">
      <alignment horizontal="center" vertical="center" wrapText="1" readingOrder="2"/>
      <protection locked="0"/>
    </xf>
    <xf numFmtId="0" fontId="23" fillId="15" borderId="0" xfId="3" applyFont="1" applyFill="1" applyAlignment="1" applyProtection="1">
      <alignment horizontal="center" vertical="center" wrapText="1" readingOrder="2"/>
      <protection locked="0"/>
    </xf>
    <xf numFmtId="0" fontId="22" fillId="16" borderId="0" xfId="3" applyFont="1" applyFill="1" applyAlignment="1" applyProtection="1">
      <alignment horizontal="center" vertical="center" wrapText="1" readingOrder="2"/>
      <protection locked="0"/>
    </xf>
    <xf numFmtId="0" fontId="23" fillId="16" borderId="0" xfId="3" applyFont="1" applyFill="1" applyAlignment="1" applyProtection="1">
      <alignment horizontal="center" vertical="center" wrapText="1" readingOrder="2"/>
      <protection locked="0"/>
    </xf>
    <xf numFmtId="0" fontId="22" fillId="14" borderId="0" xfId="3" applyFont="1" applyFill="1" applyAlignment="1" applyProtection="1">
      <alignment horizontal="center" vertical="center" wrapText="1" readingOrder="2"/>
      <protection locked="0"/>
    </xf>
    <xf numFmtId="0" fontId="23" fillId="14" borderId="0" xfId="3" applyFont="1" applyFill="1" applyAlignment="1" applyProtection="1">
      <alignment horizontal="center" vertical="center" wrapText="1" readingOrder="2"/>
      <protection locked="0"/>
    </xf>
    <xf numFmtId="0" fontId="22" fillId="11" borderId="0" xfId="3" applyFont="1" applyFill="1" applyAlignment="1" applyProtection="1">
      <alignment horizontal="center" vertical="center" wrapText="1" readingOrder="2"/>
      <protection locked="0"/>
    </xf>
    <xf numFmtId="0" fontId="23" fillId="11" borderId="0" xfId="3" applyFont="1" applyFill="1" applyAlignment="1" applyProtection="1">
      <alignment horizontal="center" vertical="center" wrapText="1" readingOrder="2"/>
      <protection locked="0"/>
    </xf>
    <xf numFmtId="0" fontId="25" fillId="12" borderId="17" xfId="3" applyFont="1" applyFill="1" applyBorder="1" applyAlignment="1">
      <alignment horizontal="center" vertical="center" wrapText="1" readingOrder="2"/>
    </xf>
    <xf numFmtId="0" fontId="25" fillId="12" borderId="16" xfId="3" applyFont="1" applyFill="1" applyBorder="1" applyAlignment="1">
      <alignment horizontal="center" vertical="center" wrapText="1" readingOrder="2"/>
    </xf>
    <xf numFmtId="0" fontId="22" fillId="13" borderId="0" xfId="3" applyFont="1" applyFill="1" applyAlignment="1">
      <alignment horizontal="center" vertical="center" wrapText="1" readingOrder="2"/>
    </xf>
    <xf numFmtId="0" fontId="23" fillId="13" borderId="0" xfId="3" applyFont="1" applyFill="1" applyAlignment="1">
      <alignment horizontal="center" vertical="center" wrapText="1" readingOrder="2"/>
    </xf>
    <xf numFmtId="0" fontId="34" fillId="12" borderId="17" xfId="3" applyFont="1" applyFill="1" applyBorder="1" applyAlignment="1">
      <alignment horizontal="center" vertical="center" wrapText="1" readingOrder="2"/>
    </xf>
    <xf numFmtId="0" fontId="34" fillId="12" borderId="16" xfId="3" applyFont="1" applyFill="1" applyBorder="1" applyAlignment="1">
      <alignment horizontal="center" vertical="center" wrapText="1" readingOrder="2"/>
    </xf>
    <xf numFmtId="0" fontId="34" fillId="12" borderId="17" xfId="3" applyFont="1" applyFill="1" applyBorder="1" applyAlignment="1">
      <alignment horizontal="center" vertical="center" shrinkToFit="1" readingOrder="2"/>
    </xf>
    <xf numFmtId="0" fontId="34" fillId="12" borderId="16" xfId="3" applyFont="1" applyFill="1" applyBorder="1" applyAlignment="1">
      <alignment horizontal="center" vertical="center" shrinkToFit="1" readingOrder="2"/>
    </xf>
    <xf numFmtId="0" fontId="34" fillId="13" borderId="0" xfId="3" applyFont="1" applyFill="1" applyAlignment="1" applyProtection="1">
      <alignment horizontal="center" vertical="center" wrapText="1" readingOrder="2"/>
      <protection locked="0"/>
    </xf>
    <xf numFmtId="0" fontId="36" fillId="8" borderId="0" xfId="2" applyFont="1" applyFill="1" applyAlignment="1" applyProtection="1">
      <alignment horizontal="center" vertical="center"/>
    </xf>
    <xf numFmtId="0" fontId="0" fillId="0" borderId="0" xfId="0" applyAlignment="1">
      <alignment horizontal="justify" vertical="center"/>
    </xf>
    <xf numFmtId="0" fontId="37" fillId="8" borderId="0" xfId="2" applyFont="1" applyFill="1" applyAlignment="1" applyProtection="1">
      <alignment horizontal="center" vertical="center"/>
    </xf>
    <xf numFmtId="0" fontId="8" fillId="8" borderId="0" xfId="2" applyFill="1" applyAlignment="1" applyProtection="1">
      <alignment horizontal="center" vertical="center"/>
    </xf>
    <xf numFmtId="0" fontId="5" fillId="0" borderId="1" xfId="0" applyFont="1" applyBorder="1" applyAlignment="1" applyProtection="1">
      <alignment horizontal="center" vertical="center"/>
    </xf>
    <xf numFmtId="165" fontId="5" fillId="0" borderId="1" xfId="1" applyNumberFormat="1" applyFont="1" applyFill="1" applyBorder="1" applyAlignment="1" applyProtection="1">
      <alignment horizontal="center" vertical="center"/>
    </xf>
    <xf numFmtId="165" fontId="5" fillId="0" borderId="1" xfId="1" applyNumberFormat="1" applyFont="1" applyBorder="1" applyAlignment="1" applyProtection="1">
      <alignment horizontal="center" vertical="center"/>
    </xf>
    <xf numFmtId="0" fontId="10" fillId="0" borderId="1" xfId="0" applyFont="1" applyBorder="1" applyAlignment="1" applyProtection="1">
      <alignment horizontal="center" vertical="center"/>
      <protection locked="0" hidden="1"/>
    </xf>
    <xf numFmtId="0" fontId="13" fillId="0" borderId="1" xfId="0" applyFont="1" applyBorder="1" applyAlignment="1" applyProtection="1">
      <alignment horizontal="center" vertical="center" wrapText="1"/>
      <protection locked="0" hidden="1"/>
    </xf>
    <xf numFmtId="0" fontId="6" fillId="0" borderId="0" xfId="0" applyFont="1" applyAlignment="1" applyProtection="1">
      <alignment horizontal="center" vertical="center" wrapText="1"/>
    </xf>
  </cellXfs>
  <cellStyles count="5">
    <cellStyle name="Comma" xfId="1" builtinId="3"/>
    <cellStyle name="Comma 2" xfId="4" xr:uid="{945CAE7A-B729-4F4D-BC2B-19ABA912A4E4}"/>
    <cellStyle name="Hyperlink" xfId="2" builtinId="8"/>
    <cellStyle name="Normal" xfId="0" builtinId="0"/>
    <cellStyle name="Normal 2" xfId="3" xr:uid="{E68F7ACD-8FCD-4F9F-B91D-BF0703573DF6}"/>
  </cellStyles>
  <dxfs count="628">
    <dxf>
      <font>
        <b val="0"/>
        <i val="0"/>
        <strike val="0"/>
        <condense val="0"/>
        <extend val="0"/>
        <outline val="0"/>
        <shadow val="0"/>
        <u val="none"/>
        <vertAlign val="baseline"/>
        <sz val="16"/>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0" formatCode="\ #,##0;\ \(#,##0\)"/>
      <fill>
        <patternFill patternType="none">
          <fgColor indexed="64"/>
          <bgColor indexed="65"/>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6"/>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0" formatCode="\ #,##0;\ \(#,##0\)"/>
      <fill>
        <patternFill patternType="none">
          <fgColor indexed="64"/>
          <bgColor indexed="65"/>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6"/>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0" formatCode="\ #,##0;\ \(#,##0\)"/>
      <fill>
        <patternFill patternType="none">
          <fgColor indexed="64"/>
          <bgColor indexed="65"/>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6"/>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0" formatCode="\ #,##0;\ \(#,##0\)"/>
      <fill>
        <patternFill patternType="none">
          <fgColor indexed="64"/>
          <bgColor indexed="65"/>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6"/>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0" formatCode="\ #,##0;\ \(#,##0\)"/>
      <fill>
        <patternFill patternType="none">
          <fgColor indexed="64"/>
          <bgColor indexed="65"/>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6"/>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0" formatCode="\ #,##0;\ \(#,##0\)"/>
      <fill>
        <patternFill patternType="none">
          <fgColor indexed="64"/>
          <bgColor indexed="65"/>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6"/>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0" formatCode="\ #,##0;\ \(#,##0\)"/>
      <fill>
        <patternFill patternType="none">
          <fgColor indexed="64"/>
          <bgColor indexed="65"/>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6"/>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6"/>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6"/>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0" formatCode="\ #,##0;\ \(#,##0\)"/>
      <fill>
        <patternFill patternType="none">
          <fgColor indexed="64"/>
          <bgColor indexed="65"/>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6"/>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6"/>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6"/>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6"/>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6"/>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6"/>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6"/>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6"/>
        <color auto="1"/>
        <name val="Sahel SMD"/>
        <scheme val="none"/>
      </font>
      <fill>
        <gradientFill degree="45">
          <stop position="0">
            <color theme="0"/>
          </stop>
          <stop position="1">
            <color theme="7" tint="0.59999389629810485"/>
          </stop>
        </gradientFill>
      </fill>
      <alignment horizontal="center"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 formatCode="0"/>
      <fill>
        <patternFill patternType="none">
          <fgColor indexed="64"/>
          <bgColor indexed="65"/>
        </patternFill>
      </fill>
      <alignment horizontal="right" vertical="center" textRotation="0" wrapText="0" indent="0" justifyLastLine="0" shrinkToFit="1" readingOrder="2"/>
      <protection locked="0" hidden="0"/>
    </dxf>
    <dxf>
      <font>
        <b val="0"/>
        <i val="0"/>
        <strike val="0"/>
        <condense val="0"/>
        <extend val="0"/>
        <outline val="0"/>
        <shadow val="0"/>
        <u val="none"/>
        <vertAlign val="baseline"/>
        <sz val="16"/>
        <color auto="1"/>
        <name val="Sahel SMD"/>
        <scheme val="none"/>
      </font>
      <fill>
        <gradientFill degree="45">
          <stop position="0">
            <color theme="0"/>
          </stop>
          <stop position="1">
            <color theme="7" tint="0.59999389629810485"/>
          </stop>
        </gradientFill>
      </fill>
      <alignment horizontal="center"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2" formatCode="\ @"/>
      <fill>
        <patternFill patternType="none">
          <bgColor auto="1"/>
        </patternFill>
      </fill>
      <alignment horizontal="center" vertical="center" textRotation="0" wrapText="0" indent="0" justifyLastLine="0" shrinkToFit="1" readingOrder="2"/>
      <protection locked="0" hidden="0"/>
    </dxf>
    <dxf>
      <font>
        <b val="0"/>
        <i val="0"/>
        <strike val="0"/>
        <condense val="0"/>
        <extend val="0"/>
        <outline val="0"/>
        <shadow val="0"/>
        <u val="none"/>
        <vertAlign val="baseline"/>
        <sz val="16"/>
        <color auto="1"/>
        <name val="Sahel SMD"/>
        <scheme val="none"/>
      </font>
      <numFmt numFmtId="1" formatCode="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2" formatCode="\ @"/>
      <fill>
        <patternFill patternType="none">
          <fgColor indexed="64"/>
          <bgColor indexed="65"/>
        </patternFill>
      </fill>
      <alignment horizontal="center" vertical="center" textRotation="0" wrapText="0" indent="0" justifyLastLine="0" shrinkToFit="1" readingOrder="2"/>
      <protection locked="1" hidden="0"/>
    </dxf>
    <dxf>
      <font>
        <b val="0"/>
        <i val="0"/>
        <strike val="0"/>
        <condense val="0"/>
        <extend val="0"/>
        <outline val="0"/>
        <shadow val="0"/>
        <u val="none"/>
        <vertAlign val="baseline"/>
        <sz val="16"/>
        <color auto="1"/>
        <name val="Sahel SMD"/>
        <scheme val="none"/>
      </font>
      <numFmt numFmtId="1" formatCode="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6"/>
        <color auto="1"/>
        <name val="Sahel SMD"/>
        <scheme val="none"/>
      </font>
      <numFmt numFmtId="172" formatCode="\ @"/>
      <fill>
        <patternFill patternType="none">
          <bgColor auto="1"/>
        </patternFill>
      </fill>
      <alignment horizontal="right" vertical="center" textRotation="0" wrapText="0" indent="0" justifyLastLine="0" shrinkToFit="1" readingOrder="2"/>
      <protection locked="1"/>
    </dxf>
    <dxf>
      <font>
        <b val="0"/>
        <i val="0"/>
        <strike val="0"/>
        <condense val="0"/>
        <extend val="0"/>
        <outline val="0"/>
        <shadow val="0"/>
        <u val="none"/>
        <vertAlign val="baseline"/>
        <sz val="16"/>
        <color auto="1"/>
        <name val="Sahel SMD"/>
        <scheme val="none"/>
      </font>
      <numFmt numFmtId="170" formatCode="\ #,##0;\ \(#,##0\)"/>
      <fill>
        <gradientFill degree="45">
          <stop position="0">
            <color rgb="FFFFFFFF"/>
          </stop>
          <stop position="1">
            <color rgb="FFCCC0DA"/>
          </stop>
        </gradientFill>
      </fill>
      <alignment horizontal="right" vertical="center" textRotation="0" wrapText="0" indent="0" justifyLastLine="0" shrinkToFit="1" readingOrder="2"/>
      <protection locked="1" hidden="0"/>
    </dxf>
    <dxf>
      <border outline="0">
        <left style="thin">
          <color rgb="FF9BBB59"/>
        </left>
        <right style="thin">
          <color rgb="FF9BBB59"/>
        </right>
        <bottom style="thin">
          <color rgb="FF9BBB59"/>
        </bottom>
      </border>
    </dxf>
    <dxf>
      <font>
        <b val="0"/>
        <i val="0"/>
        <strike val="0"/>
        <condense val="0"/>
        <extend val="0"/>
        <outline val="0"/>
        <shadow val="0"/>
        <u val="none"/>
        <vertAlign val="baseline"/>
        <sz val="16"/>
        <color auto="1"/>
        <name val="Sahel SMD"/>
        <scheme val="none"/>
      </font>
      <numFmt numFmtId="170" formatCode="\ #,##0;\ \(#,##0\)"/>
      <fill>
        <patternFill patternType="none">
          <bgColor auto="1"/>
        </patternFill>
      </fill>
      <alignment horizontal="right" vertical="center" textRotation="0" wrapText="0" indent="0" justifyLastLine="0" shrinkToFit="0" readingOrder="2"/>
      <protection locked="1"/>
    </dxf>
    <dxf>
      <font>
        <b val="0"/>
        <i val="0"/>
        <strike val="0"/>
        <condense val="0"/>
        <extend val="0"/>
        <outline val="0"/>
        <shadow val="0"/>
        <u val="none"/>
        <vertAlign val="baseline"/>
        <sz val="16"/>
        <color theme="0" tint="-0.14999847407452621"/>
        <name val="Sahel SMD"/>
        <scheme val="none"/>
      </font>
      <fill>
        <patternFill patternType="solid">
          <fgColor indexed="64"/>
          <bgColor theme="0" tint="-0.14999847407452621"/>
        </patternFill>
      </fill>
      <alignment horizontal="center" vertical="center" textRotation="0" wrapText="0" indent="0" justifyLastLine="0" shrinkToFit="0" readingOrder="2"/>
      <border diagonalUp="0" diagonalDown="0" outline="0">
        <left style="thin">
          <color theme="6"/>
        </left>
        <right style="thin">
          <color theme="6"/>
        </right>
        <top/>
        <bottom/>
      </border>
      <protection locked="1"/>
    </dxf>
    <dxf>
      <font>
        <b val="0"/>
        <i val="0"/>
        <strike val="0"/>
        <condense val="0"/>
        <extend val="0"/>
        <outline val="0"/>
        <shadow val="0"/>
        <u val="none"/>
        <vertAlign val="baseline"/>
        <sz val="14"/>
        <color auto="1"/>
        <name val="Sahel SMD"/>
        <family val="2"/>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4"/>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4"/>
        <color auto="1"/>
        <name val="Sahel SMD"/>
        <family val="2"/>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4"/>
        <color auto="1"/>
        <name val="Sahel SMD"/>
        <scheme val="none"/>
      </font>
      <numFmt numFmtId="170" formatCode="\ #,##0;\ \(#,##0\)"/>
      <fill>
        <patternFill patternType="none">
          <fgColor indexed="64"/>
          <bgColor indexed="65"/>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family val="2"/>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4"/>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4"/>
        <color auto="1"/>
        <name val="Sahel SMD"/>
        <family val="2"/>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4"/>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4"/>
        <color auto="1"/>
        <name val="Sahel SMD"/>
        <family val="2"/>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4"/>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4"/>
        <color auto="1"/>
        <name val="Sahel SMD"/>
        <family val="2"/>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4"/>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4"/>
        <color auto="1"/>
        <name val="Sahel SMD"/>
        <family val="2"/>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4"/>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4"/>
        <color auto="1"/>
        <name val="Sahel SMD"/>
        <family val="2"/>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4"/>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4"/>
        <color auto="1"/>
        <name val="Sahel SMD"/>
        <family val="2"/>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4"/>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4"/>
        <color auto="1"/>
        <name val="Sahel SMD"/>
        <family val="2"/>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4"/>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4"/>
        <color auto="1"/>
        <name val="Sahel SMD"/>
        <family val="2"/>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4"/>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4"/>
        <color auto="1"/>
        <name val="Sahel SMD"/>
        <family val="2"/>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4"/>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4"/>
        <color auto="1"/>
        <name val="Sahel SMD"/>
        <family val="2"/>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4"/>
        <color auto="1"/>
        <name val="Sahel SMD"/>
        <scheme val="none"/>
      </font>
      <numFmt numFmtId="170" formatCode="\ #,##0;\ \(#,##0\)"/>
      <fill>
        <patternFill patternType="none">
          <bgColor auto="1"/>
        </patternFill>
      </fill>
      <alignment horizontal="right" vertical="center" textRotation="0" wrapText="0" indent="0" justifyLastLine="0" shrinkToFit="1" readingOrder="2"/>
      <protection locked="1" hidden="0"/>
    </dxf>
    <dxf>
      <font>
        <b val="0"/>
        <i val="0"/>
        <strike val="0"/>
        <condense val="0"/>
        <extend val="0"/>
        <outline val="0"/>
        <shadow val="0"/>
        <u val="none"/>
        <vertAlign val="baseline"/>
        <sz val="14"/>
        <color auto="1"/>
        <name val="Sahel SMD"/>
        <family val="2"/>
        <scheme val="none"/>
      </font>
      <fill>
        <gradientFill degree="45">
          <stop position="0">
            <color theme="0"/>
          </stop>
          <stop position="1">
            <color theme="7" tint="0.59999389629810485"/>
          </stop>
        </gradientFill>
      </fill>
      <alignment horizontal="center" vertical="center" textRotation="0" wrapText="0" indent="0" justifyLastLine="0" shrinkToFit="1" readingOrder="2"/>
    </dxf>
    <dxf>
      <font>
        <b val="0"/>
        <i val="0"/>
        <strike val="0"/>
        <condense val="0"/>
        <extend val="0"/>
        <outline val="0"/>
        <shadow val="0"/>
        <u val="none"/>
        <vertAlign val="baseline"/>
        <sz val="14"/>
        <color auto="1"/>
        <name val="Sahel SMD"/>
        <scheme val="none"/>
      </font>
      <numFmt numFmtId="172" formatCode="\ @"/>
      <fill>
        <patternFill patternType="none">
          <fgColor indexed="64"/>
          <bgColor indexed="65"/>
        </patternFill>
      </fill>
      <alignment horizontal="right" vertical="center" textRotation="0" wrapText="0" indent="0" justifyLastLine="0" shrinkToFit="1" readingOrder="2"/>
      <protection locked="0" hidden="0"/>
    </dxf>
    <dxf>
      <font>
        <b val="0"/>
        <i val="0"/>
        <strike val="0"/>
        <condense val="0"/>
        <extend val="0"/>
        <outline val="0"/>
        <shadow val="0"/>
        <u val="none"/>
        <vertAlign val="baseline"/>
        <sz val="14"/>
        <color auto="1"/>
        <name val="Sahel SMD"/>
        <family val="2"/>
        <scheme val="none"/>
      </font>
      <fill>
        <gradientFill degree="45">
          <stop position="0">
            <color theme="0"/>
          </stop>
          <stop position="1">
            <color theme="7" tint="0.59999389629810485"/>
          </stop>
        </gradientFill>
      </fill>
      <alignment horizontal="center" vertical="center" textRotation="0" wrapText="0" indent="0" justifyLastLine="0" shrinkToFit="1" readingOrder="2"/>
    </dxf>
    <dxf>
      <font>
        <b val="0"/>
        <i val="0"/>
        <strike val="0"/>
        <condense val="0"/>
        <extend val="0"/>
        <outline val="0"/>
        <shadow val="0"/>
        <u val="none"/>
        <vertAlign val="baseline"/>
        <sz val="14"/>
        <color auto="1"/>
        <name val="Sahel SMD"/>
        <scheme val="none"/>
      </font>
      <numFmt numFmtId="172" formatCode="\ @"/>
      <fill>
        <patternFill patternType="none">
          <bgColor auto="1"/>
        </patternFill>
      </fill>
      <alignment horizontal="right" vertical="center" textRotation="0" wrapText="0" indent="0" justifyLastLine="0" shrinkToFit="1" readingOrder="2"/>
      <protection locked="0" hidden="0"/>
    </dxf>
    <dxf>
      <font>
        <b val="0"/>
        <i val="0"/>
        <strike val="0"/>
        <condense val="0"/>
        <extend val="0"/>
        <outline val="0"/>
        <shadow val="0"/>
        <u val="none"/>
        <vertAlign val="baseline"/>
        <sz val="14"/>
        <color auto="1"/>
        <name val="Sahel SMD"/>
        <family val="2"/>
        <scheme val="none"/>
      </font>
      <numFmt numFmtId="1" formatCode="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4"/>
        <color auto="1"/>
        <name val="Sahel SMD"/>
        <scheme val="none"/>
      </font>
      <numFmt numFmtId="1" formatCode="0"/>
      <fill>
        <patternFill patternType="none">
          <bgColor auto="1"/>
        </patternFill>
      </fill>
      <alignment horizontal="center" vertical="center" textRotation="0" wrapText="0" 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rgb="FFFFFFFF"/>
          </stop>
          <stop position="1">
            <color rgb="FFCCC0DA"/>
          </stop>
        </gradientFill>
      </fill>
      <alignment horizontal="right" vertical="center" textRotation="0" wrapText="0" indent="0" justifyLastLine="0" shrinkToFit="1" readingOrder="2"/>
      <protection locked="1" hidden="0"/>
    </dxf>
    <dxf>
      <border outline="0">
        <left style="thin">
          <color rgb="FF9BBB59"/>
        </left>
        <right style="thin">
          <color rgb="FF9BBB59"/>
        </right>
        <bottom style="thin">
          <color rgb="FF9BBB59"/>
        </bottom>
      </border>
    </dxf>
    <dxf>
      <font>
        <b val="0"/>
        <i val="0"/>
        <strike val="0"/>
        <condense val="0"/>
        <extend val="0"/>
        <outline val="0"/>
        <shadow val="0"/>
        <u val="none"/>
        <vertAlign val="baseline"/>
        <sz val="14"/>
        <color auto="1"/>
        <name val="Sahel SMD"/>
        <scheme val="none"/>
      </font>
      <numFmt numFmtId="170" formatCode="\ #,##0;\ \(#,##0\)"/>
      <fill>
        <patternFill patternType="none">
          <bgColor auto="1"/>
        </patternFill>
      </fill>
      <alignment horizontal="right" vertical="center" textRotation="0" wrapText="0" indent="0" justifyLastLine="0" shrinkToFit="0" readingOrder="2"/>
      <protection locked="1" hidden="0"/>
    </dxf>
    <dxf>
      <font>
        <b val="0"/>
        <i val="0"/>
        <strike val="0"/>
        <condense val="0"/>
        <extend val="0"/>
        <outline val="0"/>
        <shadow val="0"/>
        <u val="none"/>
        <vertAlign val="baseline"/>
        <sz val="14"/>
        <color theme="0" tint="-0.14999847407452621"/>
        <name val="Sahel SMD"/>
        <scheme val="none"/>
      </font>
      <fill>
        <patternFill patternType="solid">
          <fgColor indexed="64"/>
          <bgColor theme="0" tint="-0.14999847407452621"/>
        </patternFill>
      </fill>
      <alignment horizontal="center" vertical="center" textRotation="0" wrapText="0" indent="0" justifyLastLine="0" shrinkToFit="0" readingOrder="2"/>
      <border diagonalUp="0" diagonalDown="0" outline="0">
        <left style="thin">
          <color theme="6"/>
        </left>
        <right style="thin">
          <color theme="6"/>
        </right>
        <top/>
        <bottom/>
      </border>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sz val="14"/>
        <color auto="1"/>
        <name val="Sahel SMD"/>
        <scheme val="none"/>
      </font>
      <numFmt numFmtId="170" formatCode="\ #,##0;\ \(#,##0\)"/>
      <alignment horizontal="right" vertical="center" textRotation="0" wrapText="0" indent="0" justifyLastLine="0" shrinkToFit="1" readingOrder="2"/>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numFmt numFmtId="170" formatCode="\ #,##0;\ \(#,##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numFmt numFmtId="170" formatCode="\ #,##0;\ \(#,##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numFmt numFmtId="170" formatCode="\ #,##0;\ \(#,##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numFmt numFmtId="170" formatCode="\ #,##0;\ \(#,##0\)"/>
    </dxf>
    <dxf>
      <font>
        <b val="0"/>
        <i val="0"/>
        <strike val="0"/>
        <condense val="0"/>
        <extend val="0"/>
        <outline val="0"/>
        <shadow val="0"/>
        <u val="none"/>
        <vertAlign val="baseline"/>
        <sz val="14"/>
        <color auto="1"/>
        <name val="Sahel SMD"/>
        <scheme val="none"/>
      </font>
      <numFmt numFmtId="174" formatCode="\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numFmt numFmtId="170" formatCode="\ #,##0;\ \(#,##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center" vertical="center" textRotation="0" wrapText="0" relativeIndent="0" justifyLastLine="0" shrinkToFit="1" readingOrder="2"/>
    </dxf>
    <dxf>
      <numFmt numFmtId="170" formatCode="\ #,##0;\ \(#,##0\)"/>
      <alignment horizontal="center" vertical="center" textRotation="0" indent="0" justifyLastLine="0" readingOrder="2"/>
    </dxf>
    <dxf>
      <font>
        <b val="0"/>
        <i val="0"/>
        <strike val="0"/>
        <condense val="0"/>
        <extend val="0"/>
        <outline val="0"/>
        <shadow val="0"/>
        <u val="none"/>
        <vertAlign val="baseline"/>
        <sz val="14"/>
        <color auto="1"/>
        <name val="Sahel SMD"/>
        <scheme val="none"/>
      </font>
      <numFmt numFmtId="30" formatCode="@"/>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2" formatCode="0.00"/>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5" formatCode="\ 0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3" formatCode="00"/>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4"/>
        <color auto="1"/>
        <name val="Sahel SMD"/>
        <scheme val="none"/>
      </font>
      <numFmt numFmtId="1" formatCode="0"/>
      <fill>
        <gradientFill degree="45">
          <stop position="0">
            <color theme="0"/>
          </stop>
          <stop position="1">
            <color theme="7" tint="0.59999389629810485"/>
          </stop>
        </gradientFill>
      </fill>
      <alignment horizontal="right" vertical="center" textRotation="0" wrapText="0" relativeIndent="0" justifyLastLine="0" shrinkToFit="1" readingOrder="2"/>
    </dxf>
    <dxf>
      <numFmt numFmtId="1" formatCode="0"/>
    </dxf>
    <dxf>
      <font>
        <b val="0"/>
        <strike val="0"/>
        <outline val="0"/>
        <shadow val="0"/>
        <u val="none"/>
        <vertAlign val="baseline"/>
        <name val="Sahel SMD"/>
        <scheme val="none"/>
      </font>
      <fill>
        <gradientFill degree="45">
          <stop position="0">
            <color theme="0"/>
          </stop>
          <stop position="1">
            <color theme="7" tint="0.59999389629810485"/>
          </stop>
        </gradientFill>
      </fill>
      <protection locked="1"/>
    </dxf>
    <dxf>
      <border outline="0">
        <left style="thin">
          <color theme="6"/>
        </left>
        <right style="thin">
          <color theme="6"/>
        </right>
        <bottom style="thin">
          <color theme="6"/>
        </bottom>
      </border>
    </dxf>
    <dxf>
      <font>
        <b val="0"/>
        <i val="0"/>
        <strike val="0"/>
        <condense val="0"/>
        <extend val="0"/>
        <outline val="0"/>
        <shadow val="0"/>
        <u val="none"/>
        <vertAlign val="baseline"/>
        <sz val="14"/>
        <color auto="1"/>
        <name val="Sahel SMD"/>
        <scheme val="none"/>
      </font>
      <fill>
        <patternFill patternType="none">
          <bgColor auto="1"/>
        </patternFill>
      </fill>
      <alignment horizontal="right" vertical="center" textRotation="0" wrapText="0" indent="0" justifyLastLine="0" shrinkToFit="0" readingOrder="2"/>
      <protection locked="1"/>
    </dxf>
    <dxf>
      <font>
        <b val="0"/>
        <i val="0"/>
        <strike val="0"/>
        <condense val="0"/>
        <extend val="0"/>
        <outline val="0"/>
        <shadow val="0"/>
        <u val="none"/>
        <vertAlign val="baseline"/>
        <sz val="14"/>
        <color theme="0" tint="-0.14999847407452621"/>
        <name val="Sahel SMD"/>
        <scheme val="none"/>
      </font>
      <fill>
        <patternFill patternType="solid">
          <fgColor indexed="64"/>
          <bgColor theme="0" tint="-0.14999847407452621"/>
        </patternFill>
      </fill>
      <alignment horizontal="center" vertical="center" textRotation="0" wrapText="0" indent="0" justifyLastLine="0" shrinkToFit="0"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4" formatCode="\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4" formatCode="\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30" formatCode="@"/>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2" formatCode="0.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5" formatCode="\ 0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3" formatCode="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indexed="65"/>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 formatCode="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 formatCode="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protection locked="1" hidden="0"/>
    </dxf>
    <dxf>
      <border outline="0">
        <left style="thin">
          <color theme="6"/>
        </left>
        <right style="thin">
          <color theme="6"/>
        </right>
        <bottom style="thin">
          <color theme="6"/>
        </bottom>
      </border>
    </dxf>
    <dxf>
      <font>
        <b val="0"/>
        <i val="0"/>
        <strike val="0"/>
        <condense val="0"/>
        <extend val="0"/>
        <outline val="0"/>
        <shadow val="0"/>
        <u val="none"/>
        <vertAlign val="baseline"/>
        <sz val="18"/>
        <color auto="1"/>
        <name val="Sahel SMD"/>
        <scheme val="none"/>
      </font>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theme="0" tint="-0.14999847407452621"/>
        <name val="Sahel SMD"/>
        <scheme val="none"/>
      </font>
      <fill>
        <patternFill patternType="solid">
          <fgColor indexed="64"/>
          <bgColor theme="0" tint="-0.14999847407452621"/>
        </patternFill>
      </fill>
      <alignment horizontal="center" vertical="center" textRotation="0" wrapText="0" indent="0" justifyLastLine="0" shrinkToFit="0"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4" formatCode="\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4" formatCode="\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30" formatCode="@"/>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2" formatCode="0.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5" formatCode="\ 0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3" formatCode="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indexed="65"/>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 formatCode="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 formatCode="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protection locked="1" hidden="0"/>
    </dxf>
    <dxf>
      <border outline="0">
        <left style="thin">
          <color theme="6"/>
        </left>
        <right style="thin">
          <color theme="6"/>
        </right>
        <bottom style="thin">
          <color theme="6"/>
        </bottom>
      </border>
    </dxf>
    <dxf>
      <font>
        <b val="0"/>
        <i val="0"/>
        <strike val="0"/>
        <condense val="0"/>
        <extend val="0"/>
        <outline val="0"/>
        <shadow val="0"/>
        <u val="none"/>
        <vertAlign val="baseline"/>
        <sz val="18"/>
        <color auto="1"/>
        <name val="Sahel SMD"/>
        <scheme val="none"/>
      </font>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theme="0" tint="-0.14999847407452621"/>
        <name val="Sahel SMD"/>
        <scheme val="none"/>
      </font>
      <fill>
        <patternFill patternType="solid">
          <fgColor indexed="64"/>
          <bgColor theme="0" tint="-0.14999847407452621"/>
        </patternFill>
      </fill>
      <alignment horizontal="center" vertical="center" textRotation="0" wrapText="0" indent="0" justifyLastLine="0" shrinkToFit="0"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4" formatCode="\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4" formatCode="\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30" formatCode="@"/>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2" formatCode="0.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5" formatCode="\ 0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3" formatCode="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indexed="65"/>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 formatCode="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 formatCode="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protection locked="1" hidden="0"/>
    </dxf>
    <dxf>
      <border outline="0">
        <left style="thin">
          <color theme="6"/>
        </left>
        <right style="thin">
          <color theme="6"/>
        </right>
        <bottom style="thin">
          <color theme="6"/>
        </bottom>
      </border>
    </dxf>
    <dxf>
      <font>
        <b val="0"/>
        <i val="0"/>
        <strike val="0"/>
        <condense val="0"/>
        <extend val="0"/>
        <outline val="0"/>
        <shadow val="0"/>
        <u val="none"/>
        <vertAlign val="baseline"/>
        <sz val="18"/>
        <color auto="1"/>
        <name val="Sahel SMD"/>
        <scheme val="none"/>
      </font>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theme="0" tint="-0.14999847407452621"/>
        <name val="Sahel SMD"/>
        <scheme val="none"/>
      </font>
      <fill>
        <patternFill patternType="solid">
          <fgColor indexed="64"/>
          <bgColor theme="0" tint="-0.14999847407452621"/>
        </patternFill>
      </fill>
      <alignment horizontal="center" vertical="center" textRotation="0" wrapText="0" indent="0" justifyLastLine="0" shrinkToFit="0"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4" formatCode="\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4" formatCode="\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center"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30" formatCode="@"/>
      <fill>
        <gradientFill degree="45">
          <stop position="0">
            <color theme="0"/>
          </stop>
          <stop position="1">
            <color theme="7" tint="0.59999389629810485"/>
          </stop>
        </gradientFill>
      </fill>
      <alignment horizontal="center"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2" formatCode="0.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5" formatCode="\ 0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3" formatCode="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indexed="65"/>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 formatCode="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 formatCode="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protection locked="1" hidden="0"/>
    </dxf>
    <dxf>
      <border outline="0">
        <left style="thin">
          <color theme="6"/>
        </left>
        <right style="thin">
          <color theme="6"/>
        </right>
        <bottom style="thin">
          <color theme="6"/>
        </bottom>
      </border>
    </dxf>
    <dxf>
      <font>
        <b val="0"/>
        <i val="0"/>
        <strike val="0"/>
        <condense val="0"/>
        <extend val="0"/>
        <outline val="0"/>
        <shadow val="0"/>
        <u val="none"/>
        <vertAlign val="baseline"/>
        <sz val="18"/>
        <color auto="1"/>
        <name val="Sahel SMD"/>
        <scheme val="none"/>
      </font>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theme="0" tint="-0.14999847407452621"/>
        <name val="Sahel SMD"/>
        <scheme val="none"/>
      </font>
      <fill>
        <patternFill patternType="solid">
          <fgColor indexed="64"/>
          <bgColor theme="0" tint="-0.14999847407452621"/>
        </patternFill>
      </fill>
      <alignment horizontal="center" vertical="center" textRotation="0" wrapText="0" indent="0" justifyLastLine="0" shrinkToFit="0"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4" formatCode="\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4" formatCode="\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30" formatCode="@"/>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2" formatCode="0.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5" formatCode="\ 0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3" formatCode="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indexed="65"/>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 formatCode="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 formatCode="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protection locked="1" hidden="0"/>
    </dxf>
    <dxf>
      <border outline="0">
        <left style="thin">
          <color theme="6"/>
        </left>
        <right style="thin">
          <color theme="6"/>
        </right>
        <bottom style="thin">
          <color theme="6"/>
        </bottom>
      </border>
    </dxf>
    <dxf>
      <font>
        <b val="0"/>
        <i val="0"/>
        <strike val="0"/>
        <condense val="0"/>
        <extend val="0"/>
        <outline val="0"/>
        <shadow val="0"/>
        <u val="none"/>
        <vertAlign val="baseline"/>
        <sz val="18"/>
        <color auto="1"/>
        <name val="Sahel SMD"/>
        <scheme val="none"/>
      </font>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theme="0" tint="-0.14999847407452621"/>
        <name val="Sahel SMD"/>
        <scheme val="none"/>
      </font>
      <fill>
        <patternFill patternType="solid">
          <fgColor indexed="64"/>
          <bgColor theme="0" tint="-0.14999847407452621"/>
        </patternFill>
      </fill>
      <alignment horizontal="center" vertical="center" textRotation="0" wrapText="0" indent="0" justifyLastLine="0" shrinkToFit="0"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4" formatCode="\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4" formatCode="\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30" formatCode="@"/>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2" formatCode="0.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5" formatCode="\ 0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3" formatCode="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indexed="65"/>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 formatCode="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 formatCode="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protection locked="1" hidden="0"/>
    </dxf>
    <dxf>
      <border outline="0">
        <left style="thin">
          <color theme="6"/>
        </left>
        <right style="thin">
          <color theme="6"/>
        </right>
        <bottom style="thin">
          <color theme="6"/>
        </bottom>
      </border>
    </dxf>
    <dxf>
      <font>
        <b val="0"/>
        <i val="0"/>
        <strike val="0"/>
        <condense val="0"/>
        <extend val="0"/>
        <outline val="0"/>
        <shadow val="0"/>
        <u val="none"/>
        <vertAlign val="baseline"/>
        <sz val="18"/>
        <color auto="1"/>
        <name val="Sahel SMD"/>
        <scheme val="none"/>
      </font>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theme="0" tint="-0.14999847407452621"/>
        <name val="Sahel SMD"/>
        <scheme val="none"/>
      </font>
      <fill>
        <patternFill patternType="solid">
          <fgColor indexed="64"/>
          <bgColor theme="0" tint="-0.14999847407452621"/>
        </patternFill>
      </fill>
      <alignment horizontal="center" vertical="center" textRotation="0" wrapText="0" indent="0" justifyLastLine="0" shrinkToFit="0"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4" formatCode="\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4" formatCode="\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30" formatCode="@"/>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2" formatCode="0.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5" formatCode="\ 0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3" formatCode="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indexed="65"/>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 formatCode="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 formatCode="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protection locked="1" hidden="0"/>
    </dxf>
    <dxf>
      <border outline="0">
        <left style="thin">
          <color theme="6"/>
        </left>
        <right style="thin">
          <color theme="6"/>
        </right>
        <bottom style="thin">
          <color theme="6"/>
        </bottom>
      </border>
    </dxf>
    <dxf>
      <font>
        <b val="0"/>
        <i val="0"/>
        <strike val="0"/>
        <condense val="0"/>
        <extend val="0"/>
        <outline val="0"/>
        <shadow val="0"/>
        <u val="none"/>
        <vertAlign val="baseline"/>
        <sz val="18"/>
        <color auto="1"/>
        <name val="Sahel SMD"/>
        <scheme val="none"/>
      </font>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theme="0" tint="-0.14999847407452621"/>
        <name val="Sahel SMD"/>
        <scheme val="none"/>
      </font>
      <fill>
        <patternFill patternType="solid">
          <fgColor indexed="64"/>
          <bgColor theme="0" tint="-0.14999847407452621"/>
        </patternFill>
      </fill>
      <alignment horizontal="center" vertical="center" textRotation="0" wrapText="0" indent="0" justifyLastLine="0" shrinkToFit="0"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4" formatCode="\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4" formatCode="\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30" formatCode="@"/>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2" formatCode="0.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5" formatCode="\ 0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3" formatCode="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indexed="65"/>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 formatCode="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 formatCode="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protection locked="1" hidden="0"/>
    </dxf>
    <dxf>
      <border outline="0">
        <left style="thin">
          <color theme="6"/>
        </left>
        <right style="thin">
          <color theme="6"/>
        </right>
        <bottom style="thin">
          <color theme="6"/>
        </bottom>
      </border>
    </dxf>
    <dxf>
      <font>
        <b val="0"/>
        <i val="0"/>
        <strike val="0"/>
        <condense val="0"/>
        <extend val="0"/>
        <outline val="0"/>
        <shadow val="0"/>
        <u val="none"/>
        <vertAlign val="baseline"/>
        <sz val="18"/>
        <color auto="1"/>
        <name val="Sahel SMD"/>
        <scheme val="none"/>
      </font>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theme="0" tint="-0.14999847407452621"/>
        <name val="Sahel SMD"/>
        <scheme val="none"/>
      </font>
      <fill>
        <patternFill patternType="solid">
          <fgColor indexed="64"/>
          <bgColor theme="0" tint="-0.14999847407452621"/>
        </patternFill>
      </fill>
      <alignment horizontal="center" vertical="center" textRotation="0" wrapText="0" indent="0" justifyLastLine="0" shrinkToFit="0"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4" formatCode="\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4" formatCode="\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30" formatCode="@"/>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2" formatCode="0.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5" formatCode="\ 0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3" formatCode="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indexed="65"/>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 formatCode="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 formatCode="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protection locked="1" hidden="0"/>
    </dxf>
    <dxf>
      <border outline="0">
        <left style="thin">
          <color theme="6"/>
        </left>
        <right style="thin">
          <color theme="6"/>
        </right>
        <bottom style="thin">
          <color theme="6"/>
        </bottom>
      </border>
    </dxf>
    <dxf>
      <font>
        <b val="0"/>
        <i val="0"/>
        <strike val="0"/>
        <condense val="0"/>
        <extend val="0"/>
        <outline val="0"/>
        <shadow val="0"/>
        <u val="none"/>
        <vertAlign val="baseline"/>
        <sz val="18"/>
        <color auto="1"/>
        <name val="Sahel SMD"/>
        <scheme val="none"/>
      </font>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theme="0" tint="-0.14999847407452621"/>
        <name val="Sahel SMD"/>
        <scheme val="none"/>
      </font>
      <fill>
        <patternFill patternType="solid">
          <fgColor indexed="64"/>
          <bgColor theme="0" tint="-0.14999847407452621"/>
        </patternFill>
      </fill>
      <alignment horizontal="center" vertical="center" textRotation="0" wrapText="0" indent="0" justifyLastLine="0" shrinkToFit="0"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4" formatCode="\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4" formatCode="\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30" formatCode="@"/>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2" formatCode="0.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5" formatCode="\ 0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3" formatCode="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indexed="65"/>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 formatCode="0"/>
      <fill>
        <gradientFill degree="45">
          <stop position="0">
            <color theme="0"/>
          </stop>
          <stop position="1">
            <color theme="7" tint="0.59999389629810485"/>
          </stop>
        </gradientFill>
      </fill>
      <alignment horizontal="right" vertical="center" textRotation="0" wrapText="0" relativeIndent="0" justifyLastLine="0" shrinkToFit="1" readingOrder="2"/>
    </dxf>
    <dxf>
      <font>
        <b val="0"/>
        <i val="0"/>
        <strike val="0"/>
        <condense val="0"/>
        <extend val="0"/>
        <outline val="0"/>
        <shadow val="0"/>
        <u val="none"/>
        <vertAlign val="baseline"/>
        <sz val="18"/>
        <color auto="1"/>
        <name val="Sahel SMD"/>
        <scheme val="none"/>
      </font>
      <numFmt numFmtId="1" formatCode="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protection locked="1" hidden="0"/>
    </dxf>
    <dxf>
      <border outline="0">
        <left style="thin">
          <color theme="6"/>
        </left>
        <right style="thin">
          <color theme="6"/>
        </right>
        <bottom style="thin">
          <color theme="6"/>
        </bottom>
      </border>
    </dxf>
    <dxf>
      <font>
        <b val="0"/>
        <i val="0"/>
        <strike val="0"/>
        <condense val="0"/>
        <extend val="0"/>
        <outline val="0"/>
        <shadow val="0"/>
        <u val="none"/>
        <vertAlign val="baseline"/>
        <sz val="18"/>
        <color auto="1"/>
        <name val="Sahel SMD"/>
        <scheme val="none"/>
      </font>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theme="0" tint="-0.14999847407452621"/>
        <name val="Sahel SMD"/>
        <scheme val="none"/>
      </font>
      <fill>
        <patternFill patternType="solid">
          <fgColor indexed="64"/>
          <bgColor theme="0" tint="-0.14999847407452621"/>
        </patternFill>
      </fill>
      <alignment horizontal="center" vertical="center" textRotation="0" wrapText="0" indent="0" justifyLastLine="0" shrinkToFit="0"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4" formatCode="\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4" formatCode="\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center"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30" formatCode="@"/>
      <fill>
        <gradientFill degree="45">
          <stop position="0">
            <color theme="0"/>
          </stop>
          <stop position="1">
            <color theme="7" tint="0.59999389629810485"/>
          </stop>
        </gradientFill>
      </fill>
      <alignment horizontal="center"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2" formatCode="0.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0" formatCode="\ #,##0;\ \(#,##0\)"/>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75" formatCode="\ 0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3" formatCode="00"/>
      <fill>
        <patternFill patternType="none">
          <fgColor indexed="64"/>
          <bgColor auto="1"/>
        </patternFill>
      </fill>
      <alignment horizontal="center"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indexed="65"/>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fill>
        <gradientFill degree="45">
          <stop position="0">
            <color theme="0"/>
          </stop>
          <stop position="1">
            <color theme="7" tint="0.59999389629810485"/>
          </stop>
        </gradientFill>
      </fill>
      <alignment horizontal="center"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72" formatCode="\ @"/>
      <fill>
        <patternFill patternType="none">
          <fgColor indexed="64"/>
          <bgColor auto="1"/>
        </patternFill>
      </fill>
      <alignment horizontal="right" vertical="center" textRotation="0" wrapText="0" relativeIndent="0" justifyLastLine="0" shrinkToFit="1" readingOrder="2"/>
      <protection locked="0" hidden="0"/>
    </dxf>
    <dxf>
      <font>
        <b val="0"/>
        <i val="0"/>
        <strike val="0"/>
        <condense val="0"/>
        <extend val="0"/>
        <outline val="0"/>
        <shadow val="0"/>
        <u val="none"/>
        <vertAlign val="baseline"/>
        <sz val="14"/>
        <color auto="1"/>
        <name val="Sahel SMD"/>
        <scheme val="none"/>
      </font>
      <numFmt numFmtId="1" formatCode="0"/>
      <fill>
        <gradientFill degree="45">
          <stop position="0">
            <color theme="0"/>
          </stop>
          <stop position="1">
            <color theme="7" tint="0.59999389629810485"/>
          </stop>
        </gradientFill>
      </fill>
      <alignment horizontal="right" vertical="center" textRotation="0" wrapText="0" indent="0" justifyLastLine="0" shrinkToFit="1" readingOrder="2"/>
    </dxf>
    <dxf>
      <font>
        <b val="0"/>
        <i val="0"/>
        <strike val="0"/>
        <condense val="0"/>
        <extend val="0"/>
        <outline val="0"/>
        <shadow val="0"/>
        <u val="none"/>
        <vertAlign val="baseline"/>
        <sz val="18"/>
        <color auto="1"/>
        <name val="Sahel SMD"/>
        <scheme val="none"/>
      </font>
      <numFmt numFmtId="1" formatCode="0"/>
      <fill>
        <patternFill patternType="none">
          <fgColor indexed="64"/>
          <bgColor auto="1"/>
        </patternFill>
      </fill>
      <alignment horizontal="center" vertical="center" textRotation="0" wrapText="0" relativeIndent="0" justifyLastLine="0" shrinkToFit="1" readingOrder="2"/>
      <protection locked="1" hidden="0"/>
    </dxf>
    <dxf>
      <font>
        <b val="0"/>
        <i val="0"/>
        <strike val="0"/>
        <condense val="0"/>
        <extend val="0"/>
        <outline val="0"/>
        <shadow val="0"/>
        <u val="none"/>
        <vertAlign val="baseline"/>
        <sz val="14"/>
        <color auto="1"/>
        <name val="Sahel SMD"/>
        <scheme val="none"/>
      </font>
      <numFmt numFmtId="170" formatCode="\ #,##0;\ \(#,##0\)"/>
      <fill>
        <gradientFill degree="45">
          <stop position="0">
            <color theme="0"/>
          </stop>
          <stop position="1">
            <color theme="7" tint="0.59999389629810485"/>
          </stop>
        </gradientFill>
      </fill>
      <alignment horizontal="right" vertical="center" textRotation="0" wrapText="0" indent="0" justifyLastLine="0" shrinkToFit="1" readingOrder="2"/>
      <protection locked="1" hidden="0"/>
    </dxf>
    <dxf>
      <border outline="0">
        <left style="thin">
          <color theme="6"/>
        </left>
        <right style="thin">
          <color theme="6"/>
        </right>
        <bottom style="thin">
          <color theme="6"/>
        </bottom>
      </border>
    </dxf>
    <dxf>
      <font>
        <b val="0"/>
        <i val="0"/>
        <strike val="0"/>
        <condense val="0"/>
        <extend val="0"/>
        <outline val="0"/>
        <shadow val="0"/>
        <u val="none"/>
        <vertAlign val="baseline"/>
        <sz val="18"/>
        <color auto="1"/>
        <name val="Sahel SMD"/>
        <scheme val="none"/>
      </font>
      <fill>
        <patternFill patternType="none">
          <fgColor indexed="64"/>
          <bgColor auto="1"/>
        </patternFill>
      </fill>
      <alignment horizontal="right" vertical="center" textRotation="0" wrapText="0" relativeIndent="0" justifyLastLine="0" shrinkToFit="1" readingOrder="2"/>
      <protection locked="1" hidden="0"/>
    </dxf>
    <dxf>
      <font>
        <b val="0"/>
        <i val="0"/>
        <strike val="0"/>
        <condense val="0"/>
        <extend val="0"/>
        <outline val="0"/>
        <shadow val="0"/>
        <u val="none"/>
        <vertAlign val="baseline"/>
        <sz val="14"/>
        <color theme="0" tint="-0.14999847407452621"/>
        <name val="Sahel SMD"/>
        <scheme val="none"/>
      </font>
      <fill>
        <patternFill patternType="solid">
          <fgColor indexed="64"/>
          <bgColor theme="0" tint="-0.14999847407452621"/>
        </patternFill>
      </fill>
      <alignment horizontal="center" vertical="center" textRotation="0" wrapText="0" indent="0" justifyLastLine="0" shrinkToFit="0" readingOrder="2"/>
      <border diagonalUp="0" diagonalDown="0" outline="0">
        <left style="thin">
          <color theme="6"/>
        </left>
        <right style="thin">
          <color theme="6"/>
        </right>
        <top/>
        <bottom/>
      </border>
      <protection locked="1"/>
    </dxf>
    <dxf>
      <font>
        <color rgb="FF002060"/>
      </font>
      <fill>
        <patternFill>
          <fgColor rgb="FF002060"/>
          <bgColor rgb="FF002060"/>
        </patternFill>
      </fill>
    </dxf>
    <dxf>
      <font>
        <color rgb="FF002060"/>
      </font>
      <fill>
        <patternFill>
          <bgColor rgb="FF002060"/>
        </patternFill>
      </fill>
    </dxf>
    <dxf>
      <font>
        <color rgb="FF002060"/>
      </font>
    </dxf>
    <dxf>
      <font>
        <color rgb="FF002060"/>
      </font>
      <fill>
        <patternFill>
          <bgColor rgb="FF00206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jpg"/><Relationship Id="rId4" Type="http://schemas.openxmlformats.org/officeDocument/2006/relationships/hyperlink" Target="https://sirafhesab.ir/"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14</xdr:row>
      <xdr:rowOff>33338</xdr:rowOff>
    </xdr:from>
    <xdr:to>
      <xdr:col>0</xdr:col>
      <xdr:colOff>433387</xdr:colOff>
      <xdr:row>15</xdr:row>
      <xdr:rowOff>161925</xdr:rowOff>
    </xdr:to>
    <xdr:pic>
      <xdr:nvPicPr>
        <xdr:cNvPr id="2" name="Picture 1">
          <a:extLst>
            <a:ext uri="{FF2B5EF4-FFF2-40B4-BE49-F238E27FC236}">
              <a16:creationId xmlns:a16="http://schemas.microsoft.com/office/drawing/2014/main" id="{BA100363-613D-435E-B32E-55485CD77B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7475938" y="2767013"/>
          <a:ext cx="338138" cy="319087"/>
        </a:xfrm>
        <a:prstGeom prst="rect">
          <a:avLst/>
        </a:prstGeom>
      </xdr:spPr>
    </xdr:pic>
    <xdr:clientData/>
  </xdr:twoCellAnchor>
  <xdr:twoCellAnchor editAs="oneCell">
    <xdr:from>
      <xdr:col>0</xdr:col>
      <xdr:colOff>85726</xdr:colOff>
      <xdr:row>17</xdr:row>
      <xdr:rowOff>28576</xdr:rowOff>
    </xdr:from>
    <xdr:to>
      <xdr:col>0</xdr:col>
      <xdr:colOff>476250</xdr:colOff>
      <xdr:row>19</xdr:row>
      <xdr:rowOff>19050</xdr:rowOff>
    </xdr:to>
    <xdr:pic>
      <xdr:nvPicPr>
        <xdr:cNvPr id="3" name="Picture 2">
          <a:extLst>
            <a:ext uri="{FF2B5EF4-FFF2-40B4-BE49-F238E27FC236}">
              <a16:creationId xmlns:a16="http://schemas.microsoft.com/office/drawing/2014/main" id="{33836708-2CDE-494B-87B0-FFA45F873D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7433075" y="3238501"/>
          <a:ext cx="390524" cy="371474"/>
        </a:xfrm>
        <a:prstGeom prst="rect">
          <a:avLst/>
        </a:prstGeom>
      </xdr:spPr>
    </xdr:pic>
    <xdr:clientData/>
  </xdr:twoCellAnchor>
  <xdr:twoCellAnchor editAs="oneCell">
    <xdr:from>
      <xdr:col>0</xdr:col>
      <xdr:colOff>28575</xdr:colOff>
      <xdr:row>11</xdr:row>
      <xdr:rowOff>9525</xdr:rowOff>
    </xdr:from>
    <xdr:to>
      <xdr:col>0</xdr:col>
      <xdr:colOff>485775</xdr:colOff>
      <xdr:row>13</xdr:row>
      <xdr:rowOff>19050</xdr:rowOff>
    </xdr:to>
    <xdr:pic>
      <xdr:nvPicPr>
        <xdr:cNvPr id="4" name="Picture 3">
          <a:extLst>
            <a:ext uri="{FF2B5EF4-FFF2-40B4-BE49-F238E27FC236}">
              <a16:creationId xmlns:a16="http://schemas.microsoft.com/office/drawing/2014/main" id="{64D6D39C-A9D2-42E6-9769-522BCCC4EBB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237423550" y="2219325"/>
          <a:ext cx="457200" cy="438150"/>
        </a:xfrm>
        <a:prstGeom prst="rect">
          <a:avLst/>
        </a:prstGeom>
      </xdr:spPr>
    </xdr:pic>
    <xdr:clientData/>
  </xdr:twoCellAnchor>
  <xdr:twoCellAnchor editAs="oneCell">
    <xdr:from>
      <xdr:col>0</xdr:col>
      <xdr:colOff>57149</xdr:colOff>
      <xdr:row>20</xdr:row>
      <xdr:rowOff>57149</xdr:rowOff>
    </xdr:from>
    <xdr:to>
      <xdr:col>0</xdr:col>
      <xdr:colOff>523875</xdr:colOff>
      <xdr:row>23</xdr:row>
      <xdr:rowOff>9524</xdr:rowOff>
    </xdr:to>
    <xdr:pic>
      <xdr:nvPicPr>
        <xdr:cNvPr id="5" name="Picture 4">
          <a:extLst>
            <a:ext uri="{FF2B5EF4-FFF2-40B4-BE49-F238E27FC236}">
              <a16:creationId xmlns:a16="http://schemas.microsoft.com/office/drawing/2014/main" id="{286725CB-A473-4963-909D-1E1F1F306E1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237385450" y="3724274"/>
          <a:ext cx="466726" cy="447675"/>
        </a:xfrm>
        <a:prstGeom prst="rect">
          <a:avLst/>
        </a:prstGeom>
      </xdr:spPr>
    </xdr:pic>
    <xdr:clientData/>
  </xdr:twoCellAnchor>
  <xdr:twoCellAnchor editAs="oneCell">
    <xdr:from>
      <xdr:col>0</xdr:col>
      <xdr:colOff>0</xdr:colOff>
      <xdr:row>0</xdr:row>
      <xdr:rowOff>0</xdr:rowOff>
    </xdr:from>
    <xdr:to>
      <xdr:col>8</xdr:col>
      <xdr:colOff>2428875</xdr:colOff>
      <xdr:row>11</xdr:row>
      <xdr:rowOff>28574</xdr:rowOff>
    </xdr:to>
    <xdr:pic>
      <xdr:nvPicPr>
        <xdr:cNvPr id="6" name="Picture 5">
          <a:hlinkClick xmlns:r="http://schemas.openxmlformats.org/officeDocument/2006/relationships" r:id="rId4"/>
          <a:extLst>
            <a:ext uri="{FF2B5EF4-FFF2-40B4-BE49-F238E27FC236}">
              <a16:creationId xmlns:a16="http://schemas.microsoft.com/office/drawing/2014/main" id="{F8114850-404F-4F0A-B23C-E17E3D719B5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229994050" y="0"/>
          <a:ext cx="7915275" cy="2276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24765</xdr:colOff>
      <xdr:row>4</xdr:row>
      <xdr:rowOff>182880</xdr:rowOff>
    </xdr:from>
    <xdr:to>
      <xdr:col>5</xdr:col>
      <xdr:colOff>657225</xdr:colOff>
      <xdr:row>8</xdr:row>
      <xdr:rowOff>238125</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11078984700" y="1430655"/>
          <a:ext cx="3280410" cy="1436370"/>
        </a:xfrm>
        <a:prstGeom prst="roundRect">
          <a:avLst/>
        </a:prstGeom>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marR="0" indent="0" algn="ctr" defTabSz="914400" rtl="1" eaLnBrk="1" fontAlgn="auto" latinLnBrk="0" hangingPunct="1">
            <a:lnSpc>
              <a:spcPct val="100000"/>
            </a:lnSpc>
            <a:spcBef>
              <a:spcPts val="0"/>
            </a:spcBef>
            <a:spcAft>
              <a:spcPts val="0"/>
            </a:spcAft>
            <a:buClrTx/>
            <a:buSzTx/>
            <a:buFontTx/>
            <a:buNone/>
            <a:tabLst/>
            <a:defRPr/>
          </a:pPr>
          <a:r>
            <a:rPr lang="fa-IR" sz="1400" b="0" i="0" baseline="0">
              <a:solidFill>
                <a:schemeClr val="tx1"/>
              </a:solidFill>
              <a:effectLst/>
              <a:latin typeface="+mn-lt"/>
              <a:ea typeface="+mn-ea"/>
              <a:cs typeface="B Nazanin" panose="00000400000000000000" pitchFamily="2" charset="-78"/>
            </a:rPr>
            <a:t> </a:t>
          </a:r>
          <a:r>
            <a:rPr lang="en-US" sz="1400" b="0" i="0" baseline="0">
              <a:solidFill>
                <a:schemeClr val="tx1"/>
              </a:solidFill>
              <a:effectLst/>
              <a:latin typeface="+mn-lt"/>
              <a:ea typeface="+mn-ea"/>
              <a:cs typeface="B Nazanin" panose="00000400000000000000" pitchFamily="2" charset="-78"/>
            </a:rPr>
            <a:t>پایه سنواتی که باید دریافت شود</a:t>
          </a:r>
          <a:r>
            <a:rPr lang="fa-IR" sz="1400" b="0" i="0" baseline="0">
              <a:solidFill>
                <a:schemeClr val="tx1"/>
              </a:solidFill>
              <a:effectLst/>
              <a:latin typeface="+mn-lt"/>
              <a:ea typeface="+mn-ea"/>
              <a:cs typeface="B Nazanin" panose="00000400000000000000" pitchFamily="2" charset="-78"/>
            </a:rPr>
            <a:t> برابر است با:</a:t>
          </a:r>
        </a:p>
        <a:p>
          <a:pPr marL="0" marR="0" indent="0" algn="ctr" defTabSz="914400" rtl="1" eaLnBrk="1" fontAlgn="auto" latinLnBrk="0" hangingPunct="1">
            <a:lnSpc>
              <a:spcPct val="100000"/>
            </a:lnSpc>
            <a:spcBef>
              <a:spcPts val="0"/>
            </a:spcBef>
            <a:spcAft>
              <a:spcPts val="0"/>
            </a:spcAft>
            <a:buClrTx/>
            <a:buSzTx/>
            <a:buFontTx/>
            <a:buNone/>
            <a:tabLst/>
            <a:defRPr/>
          </a:pPr>
          <a:r>
            <a:rPr lang="en-US" sz="1400" b="0" i="0" baseline="0">
              <a:solidFill>
                <a:schemeClr val="tx1"/>
              </a:solidFill>
              <a:effectLst/>
              <a:latin typeface="+mn-lt"/>
              <a:ea typeface="+mn-ea"/>
              <a:cs typeface="B Nazanin" panose="00000400000000000000" pitchFamily="2" charset="-78"/>
            </a:rPr>
            <a:t>پایه سنوات دریافتی سال  گذشته ضربدر درصد افزایش مزد سال جاری به علاوه پایه سنوات سال </a:t>
          </a:r>
          <a:r>
            <a:rPr lang="fa-IR" sz="1400" b="0" i="0" baseline="0">
              <a:solidFill>
                <a:schemeClr val="tx1"/>
              </a:solidFill>
              <a:effectLst/>
              <a:latin typeface="+mn-lt"/>
              <a:ea typeface="+mn-ea"/>
              <a:cs typeface="B Nazanin" panose="00000400000000000000" pitchFamily="2" charset="-78"/>
            </a:rPr>
            <a:t>جاری</a:t>
          </a:r>
          <a:endParaRPr lang="en-US" sz="1400">
            <a:solidFill>
              <a:schemeClr val="tx1"/>
            </a:solidFill>
            <a:effectLst/>
            <a:cs typeface="B Nazanin" panose="00000400000000000000" pitchFamily="2" charset="-78"/>
          </a:endParaRPr>
        </a:p>
      </xdr:txBody>
    </xdr:sp>
    <xdr:clientData/>
  </xdr:twoCellAnchor>
  <xdr:twoCellAnchor editAs="oneCell">
    <xdr:from>
      <xdr:col>3</xdr:col>
      <xdr:colOff>28575</xdr:colOff>
      <xdr:row>5</xdr:row>
      <xdr:rowOff>123824</xdr:rowOff>
    </xdr:from>
    <xdr:to>
      <xdr:col>3</xdr:col>
      <xdr:colOff>485775</xdr:colOff>
      <xdr:row>7</xdr:row>
      <xdr:rowOff>9525</xdr:rowOff>
    </xdr:to>
    <xdr:pic>
      <xdr:nvPicPr>
        <xdr:cNvPr id="4" name="Picture 3">
          <a:extLst>
            <a:ext uri="{FF2B5EF4-FFF2-40B4-BE49-F238E27FC236}">
              <a16:creationId xmlns:a16="http://schemas.microsoft.com/office/drawing/2014/main" id="{AABA3352-8342-D8D1-8888-5CA4726AA0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81804100" y="1647824"/>
          <a:ext cx="457200" cy="43815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D3E6E37-72C5-4C4B-814F-6A190C1903FF}" name="ج_ح_فروردین14" displayName="ج_ح_فروردین14" ref="C6:W37" totalsRowCount="1" headerRowDxfId="623" dataDxfId="622" totalsRowDxfId="620" tableBorderDxfId="621" dataCellStyle="Comma">
  <autoFilter ref="C6:W36" xr:uid="{00000000-0009-0000-0100-000002000000}"/>
  <sortState xmlns:xlrd2="http://schemas.microsoft.com/office/spreadsheetml/2017/richdata2" ref="C7:W36">
    <sortCondition ref="E6:E36"/>
  </sortState>
  <tableColumns count="21">
    <tableColumn id="1" xr3:uid="{6FD92F24-794E-4B21-92BF-48FE606CD38F}" name="ردیف" dataDxfId="619" totalsRowDxfId="618">
      <calculatedColumnFormula>IF(ج_ح_فروردین14[[#This Row],[نام]]&lt;&gt;"",ROW()-7+1,"")</calculatedColumnFormula>
    </tableColumn>
    <tableColumn id="2" xr3:uid="{373A7791-86F2-4DEC-8640-25FF2A411F0E}" name="نام" dataDxfId="617" totalsRowDxfId="616"/>
    <tableColumn id="21" xr3:uid="{0D8EAE81-BD4B-4003-9C9E-5019CCC83DC0}" name="نام خانوادگی" totalsRowLabel="جمع" dataDxfId="615" totalsRowDxfId="614"/>
    <tableColumn id="3" xr3:uid="{1F1AECC6-DA14-47EF-B6A9-89B9E510DB1D}" name="کارکرد" totalsRowFunction="sum" dataDxfId="613" totalsRowDxfId="612"/>
    <tableColumn id="4" xr3:uid="{3CAEF9E2-7BBF-4EE0-BF85-74C3F8E3F762}" name="دستمزد روزانه " totalsRowFunction="sum" dataDxfId="611" totalsRowDxfId="610" dataCellStyle="Comma"/>
    <tableColumn id="5" xr3:uid="{35A9F882-B3F1-4689-BFDE-ED581DC72F0F}" name="حقوق پایه" totalsRowFunction="sum" dataDxfId="609" totalsRowDxfId="608" dataCellStyle="Comma">
      <calculatedColumnFormula>IF(ج_ح_فروردین14[[#This Row],[کارکرد]]*ج_ح_فروردین14[[#This Row],[دستمزد روزانه ]]=0,"",ج_ح_فروردین14[[#This Row],[کارکرد]]*ج_ح_فروردین14[[#This Row],[دستمزد روزانه ]])</calculatedColumnFormula>
    </tableColumn>
    <tableColumn id="6" xr3:uid="{DCAB5A50-E569-41D6-91C8-DE25A75D41F2}" name="مدت اضافه کاری " totalsRowFunction="sum" dataDxfId="607" totalsRowDxfId="606" dataCellStyle="Comma"/>
    <tableColumn id="7" xr3:uid="{FDABE993-040B-43B0-ADD7-7FDD7187679A}" name="اضافه کاری" totalsRowFunction="sum" dataDxfId="605" totalsRowDxfId="604" dataCellStyle="Comma">
      <calculatedColumnFormula>(ج_ح_فروردین14[[#This Row],[دستمزد روزانه ]]/7.33)*1.4*ج_ح_فروردین14[[#This Row],[مدت اضافه کاری ]]</calculatedColumnFormula>
    </tableColumn>
    <tableColumn id="8" xr3:uid="{C44B83BF-B19F-4F93-9BAF-DE5AF75CBA77}" name="حق مسکن" totalsRowFunction="sum" dataDxfId="603" totalsRowDxfId="602" dataCellStyle="Comma">
      <calculatedColumnFormula>IF(ج_ح_فروردین14[[#This Row],[کارکرد]]="","",ج_ح_فروردین14[[#This Row],[کارکرد]]*حق_مسکن/30)</calculatedColumnFormula>
    </tableColumn>
    <tableColumn id="9" xr3:uid="{6820EEA9-1CDA-4DC0-BCB8-1E31ABF83E36}" name="تعداد فرزندان" totalsRowFunction="sum" dataDxfId="601" totalsRowDxfId="600" dataCellStyle="Comma"/>
    <tableColumn id="10" xr3:uid="{7512ACCC-FAAC-48FC-B72A-9F68B7C9DD62}" name="حق اولاد" totalsRowFunction="sum" dataDxfId="599" totalsRowDxfId="598" dataCellStyle="Comma">
      <calculatedColumnFormula>IF(ج_ح_فروردین14[[#This Row],[تعداد فرزندان]]="","",ج_ح_فروردین14[[#This Row],[کارکرد]]/31*3*ج_ح_فروردین14[[#This Row],[تعداد فرزندان]]*حداقل_حقوق_پایه_روزانه)</calculatedColumnFormula>
    </tableColumn>
    <tableColumn id="11" xr3:uid="{1D27C261-4F88-4944-86AD-9ECFE3852587}" name="حق و خواروبار" totalsRowFunction="sum" dataDxfId="597" totalsRowDxfId="596" dataCellStyle="Comma">
      <calculatedColumnFormula>IF(ج_ح_فروردین14[[#This Row],[کارکرد]]="","",ج_ح_فروردین14[[#This Row],[کارکرد]]*حق_خواربار/30)</calculatedColumnFormula>
    </tableColumn>
    <tableColumn id="12" xr3:uid="{A57C4526-4E76-40D1-AC68-72C9C0F8B1FB}" name="جمع ح و م" totalsRowFunction="sum" dataDxfId="595" totalsRowDxfId="594" dataCellStyle="Comma">
      <calculatedColumnFormula>IFERROR(ج_ح_فروردین14[[#This Row],[حقوق پایه]]+ج_ح_فروردین14[[#This Row],[اضافه کاری]]+ج_ح_فروردین14[[#This Row],[حق مسکن]]+ج_ح_فروردین14[[#This Row],[حق اولاد]]+ج_ح_فروردین14[[#This Row],[حق و خواروبار]],"")</calculatedColumnFormula>
    </tableColumn>
    <tableColumn id="13" xr3:uid="{9A233712-5426-4C70-A3ED-93A2D24FE2F9}" name="جمع ح و م م بیمه " totalsRowFunction="sum" dataDxfId="593" totalsRowDxfId="592" dataCellStyle="Comma">
      <calculatedColumnFormula>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calculatedColumnFormula>
    </tableColumn>
    <tableColumn id="14" xr3:uid="{F3512F74-321D-4F88-83ED-2C7B0AD7F394}" name="جمع ح و م م مالیات" totalsRowFunction="sum" dataDxfId="591" totalsRowDxfId="590" dataCellStyle="Comma">
      <calculatedColumnFormula>IFERROR(ج_ح_فروردین14[[#This Row],[حقوق پایه]]+ج_ح_فروردین14[[#This Row],[اضافه کاری]]+-(2/7)*ج_ح_فروردین14[[#This Row],[بیمه پرداختنی]],"")</calculatedColumnFormula>
    </tableColumn>
    <tableColumn id="15" xr3:uid="{BCE45196-60AE-4053-AD72-B5E791AEC058}" name="وام" totalsRowFunction="sum" dataDxfId="589" totalsRowDxfId="588" dataCellStyle="Comma"/>
    <tableColumn id="16" xr3:uid="{5FC4B414-E452-4182-9773-D111B49A1643}" name="مساعده" totalsRowFunction="sum" dataDxfId="587" totalsRowDxfId="586" dataCellStyle="Comma"/>
    <tableColumn id="17" xr3:uid="{21E27E5F-17FA-4AD5-A393-41F3F979835F}" name="بیمه پرداختنی" totalsRowFunction="sum" dataDxfId="585" totalsRowDxfId="584" dataCellStyle="Comma">
      <calculatedColumnFormula>IFERROR(ج_ح_فروردین14[[#This Row],[جمع ح و م م بیمه ]]*7%,"")</calculatedColumnFormula>
    </tableColumn>
    <tableColumn id="18" xr3:uid="{0BCEBE70-46BC-4005-B0EF-A3C5A7B067B9}" name="مالیات پرداختنی" totalsRowFunction="sum" dataDxfId="583" totalsRowDxfId="582">
      <calculatedColumnFormula>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calculatedColumnFormula>
    </tableColumn>
    <tableColumn id="19" xr3:uid="{86DBD860-1D19-4695-8DE4-178B2277147A}" name="جمع کسورات" totalsRowFunction="sum" dataDxfId="581" totalsRowDxfId="580" dataCellStyle="Comma">
      <calculatedColumnFormula>IFERROR(ج_ح_فروردین14[[#This Row],[وام]]+ج_ح_فروردین14[[#This Row],[مساعده]]+ج_ح_فروردین14[[#This Row],[بیمه پرداختنی]]+ج_ح_فروردین14[[#This Row],[مالیات پرداختنی]],"")</calculatedColumnFormula>
    </tableColumn>
    <tableColumn id="20" xr3:uid="{0C324EA0-3744-44EF-B808-2B819A6C8E7A}" name="خالص قابل پرداخت" totalsRowFunction="sum" dataDxfId="579" totalsRowDxfId="578" dataCellStyle="Comma">
      <calculatedColumnFormula>IFERROR(ج_ح_فروردین14[[#This Row],[جمع ح و م]]-ج_ح_فروردین14[[#This Row],[جمع کسورات]],"")</calculatedColumnFormula>
    </tableColumn>
  </tableColumns>
  <tableStyleInfo name="TableStyleLight1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8137BB0-258D-4364-9101-BAF1FE4BBBE4}" name="ج_ح_دی23" displayName="ج_ح_دی23" ref="C339:W370" totalsRowCount="1" headerRowDxfId="209" dataDxfId="208" totalsRowDxfId="206" tableBorderDxfId="207" dataCellStyle="Comma">
  <autoFilter ref="C339:W369" xr:uid="{00000000-0009-0000-0100-00000A000000}"/>
  <tableColumns count="21">
    <tableColumn id="1" xr3:uid="{504AA8A3-6AAC-4676-80D8-1F0A09072A48}" name="ردیف" dataDxfId="205" totalsRowDxfId="204">
      <calculatedColumnFormula>IF(ج_ح_دی23[[#This Row],[نام]]&lt;&gt;"",ROW()-340+1,"")</calculatedColumnFormula>
    </tableColumn>
    <tableColumn id="2" xr3:uid="{503CA3EB-773E-423C-89F0-80CABE64A802}" name="نام" dataDxfId="203" totalsRowDxfId="202"/>
    <tableColumn id="21" xr3:uid="{26429274-9B06-4C50-96A5-116FEA615049}" name="نام خانوادگی" totalsRowLabel="جمع" dataDxfId="201" totalsRowDxfId="200"/>
    <tableColumn id="3" xr3:uid="{8ADD0F28-61EE-40C3-ABCC-2494DB7BB03D}" name="کارکرد" totalsRowFunction="sum" dataDxfId="199" totalsRowDxfId="198"/>
    <tableColumn id="4" xr3:uid="{0C9AFD84-99FB-4D2A-91E1-A2117AF4951D}" name="دستمزد روزانه " totalsRowFunction="sum" dataDxfId="197" totalsRowDxfId="196" dataCellStyle="Comma"/>
    <tableColumn id="5" xr3:uid="{0D1FAA1F-0E45-423F-842C-BE6218CD9C33}" name="حقوق پایه" totalsRowFunction="sum" dataDxfId="195" totalsRowDxfId="194" dataCellStyle="Comma">
      <calculatedColumnFormula>IF(ج_ح_دی23[[#This Row],[کارکرد]]*ج_ح_دی23[[#This Row],[دستمزد روزانه ]]=0,"",ج_ح_دی23[[#This Row],[کارکرد]]*ج_ح_دی23[[#This Row],[دستمزد روزانه ]])</calculatedColumnFormula>
    </tableColumn>
    <tableColumn id="6" xr3:uid="{18CDD30C-81B6-4AA5-A21D-0CAB9232690C}" name="مدت اضافه کاری " totalsRowFunction="sum" dataDxfId="193" totalsRowDxfId="192" dataCellStyle="Comma"/>
    <tableColumn id="7" xr3:uid="{08C88747-9BCC-478A-8AD3-97242F328AC2}" name="اضافه کاری" totalsRowFunction="sum" dataDxfId="191" totalsRowDxfId="190" dataCellStyle="Comma">
      <calculatedColumnFormula>(ج_ح_دی23[[#This Row],[دستمزد روزانه ]]/7.33)*1.4*ج_ح_دی23[[#This Row],[مدت اضافه کاری ]]</calculatedColumnFormula>
    </tableColumn>
    <tableColumn id="8" xr3:uid="{669A7BCD-9F9B-41F8-A829-EA4104D44D97}" name="حق مسکن" totalsRowFunction="sum" dataDxfId="189" totalsRowDxfId="188" dataCellStyle="Comma">
      <calculatedColumnFormula>IF(ج_ح_دی23[[#This Row],[کارکرد]]="","",ج_ح_دی23[[#This Row],[کارکرد]]*حق_مسکن/30)</calculatedColumnFormula>
    </tableColumn>
    <tableColumn id="9" xr3:uid="{584AF4D0-6F33-4654-8DBB-3E4755A6F0D3}" name="تعداد فرزندان" totalsRowFunction="sum" dataDxfId="187" totalsRowDxfId="186" dataCellStyle="Comma"/>
    <tableColumn id="10" xr3:uid="{5619FBB4-045F-4FB5-B615-741E8C8DB18F}" name="حق اولاد" totalsRowFunction="sum" dataDxfId="185" totalsRowDxfId="184" dataCellStyle="Comma">
      <calculatedColumnFormula>IF(ج_ح_دی23[[#This Row],[تعداد فرزندان]]="","",ج_ح_دی23[[#This Row],[کارکرد]]/30*3*ج_ح_دی23[[#This Row],[تعداد فرزندان]]*حداقل_حقوق_پایه_روزانه)</calculatedColumnFormula>
    </tableColumn>
    <tableColumn id="11" xr3:uid="{259A905E-9B62-4700-B5CB-AE79153D908A}" name="حق و خواروبار" totalsRowFunction="sum" dataDxfId="183" totalsRowDxfId="182" dataCellStyle="Comma">
      <calculatedColumnFormula>IF(ج_ح_دی23[[#This Row],[کارکرد]]="","",ج_ح_دی23[[#This Row],[کارکرد]]*حق_خواربار/30)</calculatedColumnFormula>
    </tableColumn>
    <tableColumn id="12" xr3:uid="{7E9BBEBB-D469-4871-8843-C4125E94350E}" name="جمع ح و م" totalsRowFunction="sum" dataDxfId="181" totalsRowDxfId="180" dataCellStyle="Comma">
      <calculatedColumnFormula>IFERROR(ج_ح_دی23[[#This Row],[حقوق پایه]]+ج_ح_دی23[[#This Row],[اضافه کاری]]+ج_ح_دی23[[#This Row],[حق مسکن]]+ج_ح_دی23[[#This Row],[حق اولاد]]+ج_ح_دی23[[#This Row],[حق و خواروبار]],"")</calculatedColumnFormula>
    </tableColumn>
    <tableColumn id="13" xr3:uid="{3E0BB052-D818-4455-A7D0-4AB70879371D}" name="جمع ح و م م بیمه " totalsRowFunction="sum" dataDxfId="179" totalsRowDxfId="178" dataCellStyle="Comma">
      <calculatedColumnFormula>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calculatedColumnFormula>
    </tableColumn>
    <tableColumn id="14" xr3:uid="{AE747562-846B-4F77-ABE0-156BD8AC0BA5}" name="جمع ح و م م مالیات" totalsRowFunction="sum" dataDxfId="177" totalsRowDxfId="176" dataCellStyle="Comma">
      <calculatedColumnFormula>IFERROR(ج_ح_دی23[[#This Row],[حقوق پایه]]+ج_ح_دی23[[#This Row],[اضافه کاری]]-(2/7)*ج_ح_دی23[[#This Row],[بیمه پرداختنی]],"")</calculatedColumnFormula>
    </tableColumn>
    <tableColumn id="15" xr3:uid="{8598F3BD-A080-44E6-88D3-8F032CDA59BF}" name="وام" totalsRowFunction="sum" dataDxfId="175" totalsRowDxfId="174" dataCellStyle="Comma"/>
    <tableColumn id="16" xr3:uid="{4A5FEB9A-641B-4441-9871-DA086D25CBA4}" name="مساعده" totalsRowFunction="sum" dataDxfId="173" totalsRowDxfId="172" dataCellStyle="Comma"/>
    <tableColumn id="17" xr3:uid="{289C5CA0-A411-4AA9-A99B-A61B0BCBB9ED}" name="بیمه پرداختنی" totalsRowFunction="sum" dataDxfId="171" totalsRowDxfId="170" dataCellStyle="Comma">
      <calculatedColumnFormula>IFERROR(ج_ح_دی23[[#This Row],[جمع ح و م م بیمه ]]*7%,"")</calculatedColumnFormula>
    </tableColumn>
    <tableColumn id="18" xr3:uid="{6D38F417-66D2-4655-9960-4810063B7AC2}" name="مالیات پرداختنی" totalsRowFunction="sum" dataDxfId="169" totalsRowDxfId="168">
      <calculatedColumnFormula>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calculatedColumnFormula>
    </tableColumn>
    <tableColumn id="19" xr3:uid="{358E13BC-E3E6-48A1-8BB9-29E769228988}" name="جمع کسورات" totalsRowFunction="sum" dataDxfId="167" totalsRowDxfId="166" dataCellStyle="Comma">
      <calculatedColumnFormula>IFERROR(ج_ح_دی23[[#This Row],[وام]]+ج_ح_دی23[[#This Row],[مساعده]]+ج_ح_دی23[[#This Row],[بیمه پرداختنی]]+ج_ح_دی23[[#This Row],[مالیات پرداختنی]],"")</calculatedColumnFormula>
    </tableColumn>
    <tableColumn id="20" xr3:uid="{A7E489FD-61B6-44B2-A827-C91654EF3873}" name="خالص قابل پرداخت" totalsRowFunction="sum" dataDxfId="165" totalsRowDxfId="164" dataCellStyle="Comma">
      <calculatedColumnFormula>IFERROR(ج_ح_دی23[[#This Row],[جمع ح و م]]-ج_ح_دی23[[#This Row],[جمع کسورات]],"")</calculatedColumnFormula>
    </tableColumn>
  </tableColumns>
  <tableStyleInfo name="TableStyleLight1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DEF105B-39E6-4A05-9D2B-9F4E01357742}" name="ج_ح_بهمن24" displayName="ج_ح_بهمن24" ref="C376:W407" totalsRowCount="1" headerRowDxfId="163" dataDxfId="162" totalsRowDxfId="160" tableBorderDxfId="161" dataCellStyle="Comma">
  <autoFilter ref="C376:W406" xr:uid="{00000000-0009-0000-0100-00000B000000}"/>
  <tableColumns count="21">
    <tableColumn id="1" xr3:uid="{187265B6-855D-4176-9653-710FA814A0BE}" name="ردیف" dataDxfId="159" totalsRowDxfId="158">
      <calculatedColumnFormula>IF(ج_ح_بهمن24[[#This Row],[نام]]&lt;&gt;"",ROW()-377+1,"")</calculatedColumnFormula>
    </tableColumn>
    <tableColumn id="2" xr3:uid="{94B324D7-CD41-4B1C-B4A0-53659B42B30C}" name="نام" dataDxfId="157" totalsRowDxfId="156"/>
    <tableColumn id="21" xr3:uid="{7CBFB896-3F6A-4A45-9F0C-9BFD43767C33}" name="نام خانوادگی" totalsRowLabel="جمع" dataDxfId="155" totalsRowDxfId="154"/>
    <tableColumn id="3" xr3:uid="{9B8DF53D-E1BE-42B4-BCF3-0A8D066F68DD}" name="کارکرد" totalsRowFunction="sum" dataDxfId="153" totalsRowDxfId="152"/>
    <tableColumn id="4" xr3:uid="{99D9BFFB-97E6-4395-89CE-A9030A256C38}" name="دستمزد روزانه " totalsRowFunction="sum" dataDxfId="151" totalsRowDxfId="150" dataCellStyle="Comma"/>
    <tableColumn id="5" xr3:uid="{4789AF30-A4FF-4AE6-8115-BBBB2982EEFC}" name="حقوق پایه" totalsRowFunction="sum" dataDxfId="149" totalsRowDxfId="148" dataCellStyle="Comma">
      <calculatedColumnFormula>IF(ج_ح_بهمن24[[#This Row],[کارکرد]]*ج_ح_بهمن24[[#This Row],[دستمزد روزانه ]]=0,"",ج_ح_بهمن24[[#This Row],[کارکرد]]*ج_ح_بهمن24[[#This Row],[دستمزد روزانه ]])</calculatedColumnFormula>
    </tableColumn>
    <tableColumn id="6" xr3:uid="{EF451000-3EA7-4E6C-8C5B-703FFF51EA43}" name="مدت اضافه کاری " totalsRowFunction="sum" dataDxfId="147" totalsRowDxfId="146" dataCellStyle="Comma"/>
    <tableColumn id="7" xr3:uid="{D7D26483-4AE3-49BF-9662-D2C543030DE3}" name="اضافه کاری" totalsRowFunction="sum" dataDxfId="145" totalsRowDxfId="144" dataCellStyle="Comma">
      <calculatedColumnFormula>(ج_ح_بهمن24[[#This Row],[دستمزد روزانه ]]/7.33)*1.4*ج_ح_بهمن24[[#This Row],[مدت اضافه کاری ]]</calculatedColumnFormula>
    </tableColumn>
    <tableColumn id="8" xr3:uid="{047311BF-9763-4E5B-A388-112DC11E6F11}" name="حق مسکن" totalsRowFunction="sum" dataDxfId="143" totalsRowDxfId="142" dataCellStyle="Comma">
      <calculatedColumnFormula>IF(ج_ح_بهمن24[[#This Row],[کارکرد]]="","",ج_ح_بهمن24[[#This Row],[کارکرد]]*حق_مسکن/30)</calculatedColumnFormula>
    </tableColumn>
    <tableColumn id="9" xr3:uid="{DEBE5B78-C739-4BF0-B830-4682CF83C146}" name="تعداد فرزندان" totalsRowFunction="sum" dataDxfId="141" totalsRowDxfId="140" dataCellStyle="Comma"/>
    <tableColumn id="10" xr3:uid="{5BD3E958-603B-498B-AE3C-B0497784AE11}" name="حق اولاد" totalsRowFunction="sum" dataDxfId="139" totalsRowDxfId="138" dataCellStyle="Comma">
      <calculatedColumnFormula>IF(ج_ح_بهمن24[[#This Row],[تعداد فرزندان]]="","",ج_ح_بهمن24[[#This Row],[کارکرد]]/30*3*ج_ح_بهمن24[[#This Row],[تعداد فرزندان]]*حداقل_حقوق_پایه_روزانه)</calculatedColumnFormula>
    </tableColumn>
    <tableColumn id="11" xr3:uid="{AD3EA624-C389-4D2A-BA23-8D8A78621911}" name="حق و خواروبار" totalsRowFunction="sum" dataDxfId="137" totalsRowDxfId="136" dataCellStyle="Comma">
      <calculatedColumnFormula>IF(ج_ح_بهمن24[[#This Row],[کارکرد]]="","",ج_ح_بهمن24[[#This Row],[کارکرد]]*حق_خواربار/30)</calculatedColumnFormula>
    </tableColumn>
    <tableColumn id="12" xr3:uid="{422CE1E3-8143-4995-926E-799F4D25B5E7}" name="جمع ح و م" totalsRowFunction="sum" dataDxfId="135" totalsRowDxfId="134" dataCellStyle="Comma">
      <calculatedColumnFormula>IFERROR(ج_ح_بهمن24[[#This Row],[حقوق پایه]]+ج_ح_بهمن24[[#This Row],[اضافه کاری]]+ج_ح_بهمن24[[#This Row],[حق مسکن]]+ج_ح_بهمن24[[#This Row],[حق اولاد]]+ج_ح_بهمن24[[#This Row],[حق و خواروبار]],"")</calculatedColumnFormula>
    </tableColumn>
    <tableColumn id="13" xr3:uid="{12BD8402-6085-42A5-A992-EDF2927656C5}" name="جمع ح و م م بیمه " totalsRowFunction="sum" dataDxfId="133" totalsRowDxfId="132" dataCellStyle="Comma">
      <calculatedColumnFormula>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calculatedColumnFormula>
    </tableColumn>
    <tableColumn id="14" xr3:uid="{96214A73-0EB6-4C0B-9905-1E5C7B965ED2}" name="جمع ح و م م مالیات" totalsRowFunction="sum" dataDxfId="131" totalsRowDxfId="130" dataCellStyle="Comma">
      <calculatedColumnFormula>IFERROR(ج_ح_بهمن24[[#This Row],[حقوق پایه]]+ج_ح_بهمن24[[#This Row],[اضافه کاری]]-(2/7)*ج_ح_بهمن24[[#This Row],[بیمه پرداختنی]],"")</calculatedColumnFormula>
    </tableColumn>
    <tableColumn id="15" xr3:uid="{61F50A09-72A5-4C3F-9301-F1A068B44199}" name="وام" totalsRowFunction="sum" dataDxfId="129" totalsRowDxfId="128" dataCellStyle="Comma"/>
    <tableColumn id="16" xr3:uid="{73B6F2CB-9240-40AC-9ADB-AAF5DE2DDB46}" name="مساعده" totalsRowFunction="sum" dataDxfId="127" totalsRowDxfId="126" dataCellStyle="Comma"/>
    <tableColumn id="17" xr3:uid="{4780E56A-F7D0-45C3-8948-206221FF29BF}" name="بیمه پرداختنی" totalsRowFunction="sum" dataDxfId="125" totalsRowDxfId="124" dataCellStyle="Comma">
      <calculatedColumnFormula>IFERROR(ج_ح_بهمن24[[#This Row],[جمع ح و م م بیمه ]]*7%,"")</calculatedColumnFormula>
    </tableColumn>
    <tableColumn id="18" xr3:uid="{7354CEF9-0387-47DD-A2C2-D1DB72F6957F}" name="مالیات پرداختنی" totalsRowFunction="sum" dataDxfId="123" totalsRowDxfId="122">
      <calculatedColumnFormula>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calculatedColumnFormula>
    </tableColumn>
    <tableColumn id="19" xr3:uid="{01ED2010-F57B-407E-8F53-07683A59C6F5}" name="جمع کسورات" totalsRowFunction="sum" dataDxfId="121" totalsRowDxfId="120" dataCellStyle="Comma">
      <calculatedColumnFormula>IFERROR(ج_ح_بهمن24[[#This Row],[وام]]+ج_ح_بهمن24[[#This Row],[مساعده]]+ج_ح_بهمن24[[#This Row],[بیمه پرداختنی]]+ج_ح_بهمن24[[#This Row],[مالیات پرداختنی]],"")</calculatedColumnFormula>
    </tableColumn>
    <tableColumn id="20" xr3:uid="{0403CF00-FC4D-4D98-A3C7-8D7A2CA618AD}" name="خالص قابل پرداخت" totalsRowFunction="sum" dataDxfId="119" totalsRowDxfId="118" dataCellStyle="Comma">
      <calculatedColumnFormula>IFERROR(ج_ح_بهمن24[[#This Row],[جمع ح و م]]-ج_ح_بهمن24[[#This Row],[جمع کسورات]],"")</calculatedColumnFormula>
    </tableColumn>
  </tableColumns>
  <tableStyleInfo name="TableStyleLight1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78DAD60E-0DE6-468E-8B2D-E17DD1618A82}" name="ج_ح_اسفند25" displayName="ج_ح_اسفند25" ref="C413:W444" totalsRowCount="1" headerRowDxfId="117" dataDxfId="116" totalsRowDxfId="114" tableBorderDxfId="115">
  <autoFilter ref="C413:W443" xr:uid="{00000000-0009-0000-0100-00000C000000}"/>
  <tableColumns count="21">
    <tableColumn id="1" xr3:uid="{99410661-1E96-46E3-9235-5B07DA0A8C87}" name="ردیف" dataDxfId="113" totalsRowDxfId="112">
      <calculatedColumnFormula>IF(ج_ح_اسفند25[[#This Row],[نام]]&lt;&gt;"",ROW()-414+1,"")</calculatedColumnFormula>
    </tableColumn>
    <tableColumn id="2" xr3:uid="{428891C1-480B-4F47-93CC-8BBB4C26F8DC}" name="نام" totalsRowDxfId="111"/>
    <tableColumn id="21" xr3:uid="{A83919FA-6409-44A8-9814-67FA495777DC}" name="نام خانوادگی" totalsRowLabel="جمع" totalsRowDxfId="110"/>
    <tableColumn id="3" xr3:uid="{D7A64CC3-46DD-4A85-AFB9-A57E193DF520}" name="کارکرد" totalsRowFunction="sum" dataDxfId="109" totalsRowDxfId="108"/>
    <tableColumn id="4" xr3:uid="{6D46E674-7A7C-49E1-B2FB-1F87B7E7D5F9}" name="دستمزد روزانه " totalsRowFunction="sum" dataDxfId="107" totalsRowDxfId="106" dataCellStyle="Comma"/>
    <tableColumn id="5" xr3:uid="{1AEC6192-38F3-4115-8D7E-5A15A2E12F4E}" name="حقوق پایه" totalsRowFunction="sum" totalsRowDxfId="105">
      <calculatedColumnFormula>IF(ج_ح_اسفند25[[#This Row],[کارکرد]]*ج_ح_اسفند25[[#This Row],[دستمزد روزانه ]]=0,"",ج_ح_اسفند25[[#This Row],[کارکرد]]*ج_ح_اسفند25[[#This Row],[دستمزد روزانه ]])</calculatedColumnFormula>
    </tableColumn>
    <tableColumn id="6" xr3:uid="{E243E129-86C4-46C9-9DAA-D96BC2E0884D}" name="مدت اضافه کاری " totalsRowFunction="sum" dataDxfId="104" totalsRowDxfId="103" dataCellStyle="Comma"/>
    <tableColumn id="7" xr3:uid="{51E0B8B6-1BA1-4CF7-BA74-BF7088E8FB6E}" name="اضافه کاری" totalsRowFunction="sum" dataDxfId="102" totalsRowDxfId="101">
      <calculatedColumnFormula>(ج_ح_اسفند25[[#This Row],[دستمزد روزانه ]]/7.33)*1.4*ج_ح_اسفند25[[#This Row],[مدت اضافه کاری ]]</calculatedColumnFormula>
    </tableColumn>
    <tableColumn id="8" xr3:uid="{7EC74455-94E3-416F-89EE-29CDF5F34653}" name="حق مسکن" totalsRowFunction="sum" dataDxfId="100" totalsRowDxfId="99">
      <calculatedColumnFormula>IF(ج_ح_اسفند25[[#This Row],[کارکرد]]="","",ج_ح_اسفند25[[#This Row],[کارکرد]]*حق_مسکن/30)</calculatedColumnFormula>
    </tableColumn>
    <tableColumn id="9" xr3:uid="{88A72814-6350-47A5-B3B1-C90A7F36A116}" name="تعداد فرزندان" totalsRowFunction="sum" totalsRowDxfId="98"/>
    <tableColumn id="10" xr3:uid="{01A28987-6CFC-4EF5-9194-E813E01647DF}" name="حق اولاد" totalsRowFunction="sum" dataDxfId="97" totalsRowDxfId="96">
      <calculatedColumnFormula>IF(ج_ح_اسفند25[[#This Row],[تعداد فرزندان]]="","",ج_ح_اسفند25[[#This Row],[کارکرد]]/29*3*ج_ح_اسفند25[[#This Row],[تعداد فرزندان]]*حداقل_حقوق_پایه_روزانه)</calculatedColumnFormula>
    </tableColumn>
    <tableColumn id="11" xr3:uid="{9B511951-CE02-49BA-8907-98709F1FB01D}" name="حق و خواروبار" totalsRowFunction="sum" dataDxfId="95" totalsRowDxfId="94">
      <calculatedColumnFormula>IF(ج_ح_اسفند25[[#This Row],[کارکرد]]="","",ج_ح_اسفند25[[#This Row],[کارکرد]]*حق_خواربار/30)</calculatedColumnFormula>
    </tableColumn>
    <tableColumn id="12" xr3:uid="{8EF6CFB3-4EC4-46CB-AF9F-47FE9A904D03}" name="جمع ح و م" totalsRowFunction="sum" totalsRowDxfId="93">
      <calculatedColumnFormula>IFERROR(ج_ح_اسفند25[[#This Row],[حقوق پایه]]+ج_ح_اسفند25[[#This Row],[اضافه کاری]]+ج_ح_اسفند25[[#This Row],[حق مسکن]]+ج_ح_اسفند25[[#This Row],[حق اولاد]]+ج_ح_اسفند25[[#This Row],[حق و خواروبار]],"")</calculatedColumnFormula>
    </tableColumn>
    <tableColumn id="13" xr3:uid="{903BE7F5-2BCF-4922-92FA-202DF069E561}" name="جمع ح و م م بیمه " totalsRowFunction="sum" dataDxfId="92" totalsRowDxfId="91">
      <calculatedColumnFormula>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calculatedColumnFormula>
    </tableColumn>
    <tableColumn id="14" xr3:uid="{A9971F43-29D2-4F69-BF24-0DF446F55F93}" name="جمع ح و م م مالیات" totalsRowFunction="sum" dataDxfId="90" totalsRowDxfId="89">
      <calculatedColumnFormula>IFERROR(ج_ح_اسفند25[[#This Row],[حقوق پایه]]+ج_ح_اسفند25[[#This Row],[اضافه کاری]]-(2/7)*ج_ح_اسفند25[[#This Row],[بیمه پرداختنی]],"")</calculatedColumnFormula>
    </tableColumn>
    <tableColumn id="15" xr3:uid="{39D35C3C-1553-45F0-8612-ED9106ECAD0E}" name="وام" totalsRowFunction="sum" totalsRowDxfId="88"/>
    <tableColumn id="16" xr3:uid="{8C5DE6C8-6F25-4CE7-A45B-E319AAD64F9A}" name="مساعده" totalsRowFunction="sum" totalsRowDxfId="87"/>
    <tableColumn id="17" xr3:uid="{BAF9A9FE-CE22-4E43-B58D-E4CA96484C76}" name="بیمه پرداختنی" totalsRowFunction="sum" totalsRowDxfId="86">
      <calculatedColumnFormula>IFERROR(ج_ح_اسفند25[[#This Row],[جمع ح و م م بیمه ]]*7%,"")</calculatedColumnFormula>
    </tableColumn>
    <tableColumn id="18" xr3:uid="{2F3A500A-0FDC-48D8-A122-291121EF4E84}" name="مالیات پرداختنی" totalsRowFunction="sum" dataDxfId="85" totalsRowDxfId="84">
      <calculatedColumnFormula>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calculatedColumnFormula>
    </tableColumn>
    <tableColumn id="19" xr3:uid="{2286A135-4BD7-4DF0-BC12-E4232E2A38D6}" name="جمع کسورات" totalsRowFunction="sum" totalsRowDxfId="83">
      <calculatedColumnFormula>IFERROR(ج_ح_اسفند25[[#This Row],[وام]]+ج_ح_اسفند25[[#This Row],[مساعده]]+ج_ح_اسفند25[[#This Row],[بیمه پرداختنی]]+ج_ح_اسفند25[[#This Row],[مالیات پرداختنی]],"")</calculatedColumnFormula>
    </tableColumn>
    <tableColumn id="20" xr3:uid="{74717360-37E0-49D9-B29F-D460EAD1D9DC}" name="خالص قابل پرداخت" totalsRowFunction="sum" totalsRowDxfId="82">
      <calculatedColumnFormula>IFERROR(ج_ح_اسفند25[[#This Row],[جمع ح و م]]-ج_ح_اسفند25[[#This Row],[جمع کسورات]],"")</calculatedColumnFormula>
    </tableColumn>
  </tableColumns>
  <tableStyleInfo name="TableStyleLight1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53870DC5-8C70-47A5-AF8A-CB8B525FAF15}" name="ج_ح_فروردین28" displayName="ج_ح_فروردین28" ref="B6:Q37" totalsRowCount="1" headerRowDxfId="81" dataDxfId="80" totalsRowDxfId="78" tableBorderDxfId="79">
  <autoFilter ref="B6:Q36" xr:uid="{00000000-0009-0000-0100-00001B000000}"/>
  <sortState xmlns:xlrd2="http://schemas.microsoft.com/office/spreadsheetml/2017/richdata2" ref="B7:Q36">
    <sortCondition ref="D6:D36"/>
  </sortState>
  <tableColumns count="16">
    <tableColumn id="1" xr3:uid="{00000000-0010-0000-0C00-000001000000}" name="ردیف" dataDxfId="77" totalsRowDxfId="76" totalsRowCellStyle="Normal 2">
      <calculatedColumnFormula>IF(ج_ح_فروردین28[[#This Row],[نام]]&lt;&gt;"",ROW()-7+1,"")</calculatedColumnFormula>
    </tableColumn>
    <tableColumn id="2" xr3:uid="{00000000-0010-0000-0C00-000002000000}" name="نام" dataDxfId="75" totalsRowDxfId="74" totalsRowCellStyle="Normal 2"/>
    <tableColumn id="21" xr3:uid="{00000000-0010-0000-0C00-000015000000}" name="نام خانوادگی" totalsRowLabel="جمع" dataDxfId="73" totalsRowDxfId="72" totalsRowCellStyle="Normal 2"/>
    <tableColumn id="5" xr3:uid="{00000000-0010-0000-0C00-000005000000}" name="فروردین" totalsRowFunction="sum" dataDxfId="71" totalsRowDxfId="70" totalsRowCellStyle="Normal 2"/>
    <tableColumn id="10" xr3:uid="{00000000-0010-0000-0C00-00000A000000}" name="اردیبهشت" totalsRowFunction="sum" dataDxfId="69" totalsRowDxfId="68" totalsRowCellStyle="Normal 2"/>
    <tableColumn id="11" xr3:uid="{00000000-0010-0000-0C00-00000B000000}" name="خرداد" totalsRowFunction="sum" dataDxfId="67" totalsRowDxfId="66" totalsRowCellStyle="Normal 2"/>
    <tableColumn id="12" xr3:uid="{00000000-0010-0000-0C00-00000C000000}" name="تیر" totalsRowFunction="sum" dataDxfId="65" totalsRowDxfId="64" totalsRowCellStyle="Normal 2"/>
    <tableColumn id="13" xr3:uid="{00000000-0010-0000-0C00-00000D000000}" name="مرداد" totalsRowFunction="sum" dataDxfId="63" totalsRowDxfId="62" totalsRowCellStyle="Normal 2"/>
    <tableColumn id="14" xr3:uid="{00000000-0010-0000-0C00-00000E000000}" name="شهریور" totalsRowFunction="sum" dataDxfId="61" totalsRowDxfId="60" totalsRowCellStyle="Normal 2"/>
    <tableColumn id="15" xr3:uid="{00000000-0010-0000-0C00-00000F000000}" name="مهر" totalsRowFunction="sum" dataDxfId="59" totalsRowDxfId="58" totalsRowCellStyle="Normal 2"/>
    <tableColumn id="16" xr3:uid="{00000000-0010-0000-0C00-000010000000}" name="آبان" totalsRowFunction="sum" dataDxfId="57" totalsRowDxfId="56" totalsRowCellStyle="Normal 2"/>
    <tableColumn id="17" xr3:uid="{00000000-0010-0000-0C00-000011000000}" name="آذر" totalsRowFunction="sum" dataDxfId="55" totalsRowDxfId="54" totalsRowCellStyle="Normal 2"/>
    <tableColumn id="18" xr3:uid="{00000000-0010-0000-0C00-000012000000}" name="دی" totalsRowFunction="sum" dataDxfId="53" totalsRowDxfId="52" totalsRowCellStyle="Normal 2"/>
    <tableColumn id="19" xr3:uid="{00000000-0010-0000-0C00-000013000000}" name="بهمن" totalsRowFunction="sum" dataDxfId="51" totalsRowDxfId="50" totalsRowCellStyle="Normal 2"/>
    <tableColumn id="3" xr3:uid="{00000000-0010-0000-0C00-000003000000}" name="اسفند" totalsRowFunction="sum" dataDxfId="49" totalsRowDxfId="48" dataCellStyle="Comma" totalsRowCellStyle="Normal 2"/>
    <tableColumn id="20" xr3:uid="{00000000-0010-0000-0C00-000014000000}" name="جمع افقی" totalsRowFunction="sum" dataDxfId="47" totalsRowDxfId="46" totalsRowCellStyle="Normal 2">
      <calculatedColumnFormula>IF(SUM(ج_ح_فروردین28[[#This Row],[فروردین]:[اسفند]])&gt;0,SUM(ج_ح_فروردین28[[#This Row],[فروردین]:[اسفند]]),"")</calculatedColumnFormula>
    </tableColumn>
  </tableColumns>
  <tableStyleInfo name="TableStyleLight1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5E7EDF7D-811F-43E9-80AC-77AFFAA53A68}" name="ج_ح_فروردین2840" displayName="ج_ح_فروردین2840" ref="B6:V19" totalsRowCount="1" headerRowDxfId="45" dataDxfId="44" totalsRowDxfId="42" tableBorderDxfId="43">
  <autoFilter ref="B6:V18" xr:uid="{00000000-0009-0000-0100-000027000000}"/>
  <sortState xmlns:xlrd2="http://schemas.microsoft.com/office/spreadsheetml/2017/richdata2" ref="B7:X18">
    <sortCondition ref="E6:E18"/>
  </sortState>
  <tableColumns count="21">
    <tableColumn id="1" xr3:uid="{00000000-0010-0000-0D00-000001000000}" name="ماه" dataDxfId="41" totalsRowDxfId="40">
      <calculatedColumnFormula>IF(ج_ح_فروردین2840[[#This Row],[تاریخ سند]]&lt;&gt;"",ROW()-7+1,"")</calculatedColumnFormula>
    </tableColumn>
    <tableColumn id="28" xr3:uid="{00000000-0010-0000-0D00-00001C000000}" name="شماره ماه" dataDxfId="39" totalsRowDxfId="38"/>
    <tableColumn id="2" xr3:uid="{00000000-0010-0000-0D00-000002000000}" name="تاریخ سند" dataDxfId="37" totalsRowDxfId="36"/>
    <tableColumn id="21" xr3:uid="{00000000-0010-0000-0D00-000015000000}" name="شماره سند" totalsRowLabel="جمع" dataDxfId="35" totalsRowDxfId="34"/>
    <tableColumn id="5" xr3:uid="{00000000-0010-0000-0D00-000005000000}" name="حقوق پایه" totalsRowFunction="sum" dataDxfId="33" totalsRowDxfId="32"/>
    <tableColumn id="10" xr3:uid="{00000000-0010-0000-0D00-00000A000000}" name="حق اولاد" totalsRowFunction="sum" dataDxfId="31" totalsRowDxfId="30"/>
    <tableColumn id="11" xr3:uid="{00000000-0010-0000-0D00-00000B000000}" name="حق مسکن" totalsRowFunction="sum" dataDxfId="29" totalsRowDxfId="28"/>
    <tableColumn id="12" xr3:uid="{00000000-0010-0000-0D00-00000C000000}" name="حق خواربار" totalsRowFunction="sum" dataDxfId="27" totalsRowDxfId="26"/>
    <tableColumn id="13" xr3:uid="{00000000-0010-0000-0D00-00000D000000}" name="اضافه کاری" totalsRowFunction="sum" dataDxfId="25" totalsRowDxfId="24"/>
    <tableColumn id="16" xr3:uid="{00000000-0010-0000-0D00-000010000000}" name="جمع حقوق و مزایا" totalsRowFunction="sum" dataDxfId="23" totalsRowDxfId="22">
      <calculatedColumnFormula>IFERROR(ج_ح_فروردین2840[[#This Row],[حقوق پایه]]+ج_ح_فروردین2840[[#This Row],[حق اولاد]]+ج_ح_فروردین2840[[#This Row],[حق مسکن]]+ج_ح_فروردین2840[[#This Row],[حق خواربار]]+ج_ح_فروردین2840[[#This Row],[اضافه کاری]],"")</calculatedColumnFormula>
    </tableColumn>
    <tableColumn id="17" xr3:uid="{00000000-0010-0000-0D00-000011000000}" name="جمع حقوق و مزایای مشمول بیمه " totalsRowFunction="sum" dataDxfId="21" totalsRowDxfId="20">
      <calculatedColumnFormula>IFERROR(ج_ح_فروردین2840[[#This Row],[حقوق پایه]]+ج_ح_فروردین2840[[#This Row],[حق مسکن]]+ج_ح_فروردین2840[[#This Row],[حق خواربار]]+ج_ح_فروردین2840[[#This Row],[اضافه کاری]],"")</calculatedColumnFormula>
    </tableColumn>
    <tableColumn id="27" xr3:uid="{00000000-0010-0000-0D00-00001B000000}" name="جمع حقوق و مزایای مشمول مالیات " totalsRowFunction="sum" dataDxfId="19" totalsRowDxfId="18">
      <calculatedColumnFormula>IFERROR(ج_ح_فروردین2840[[#This Row],[حقوق پایه]]+ج_ح_فروردین2840[[#This Row],[حق اولاد]]+ج_ح_فروردین2840[[#This Row],[حق مسکن]]+ج_ح_فروردین2840[[#This Row],[حق خواربار]]+ج_ح_فروردین2840[[#This Row],[اضافه کاری]],"")</calculatedColumnFormula>
    </tableColumn>
    <tableColumn id="18" xr3:uid="{00000000-0010-0000-0D00-000012000000}" name="سهم بیمه کارمند 7%" totalsRowFunction="sum" dataDxfId="17" totalsRowDxfId="16">
      <calculatedColumnFormula>IFERROR(ج_ح_فروردین2840[[#This Row],[جمع حقوق و مزایای مشمول بیمه ]]*7%,"")</calculatedColumnFormula>
    </tableColumn>
    <tableColumn id="19" xr3:uid="{00000000-0010-0000-0D00-000013000000}" name="کل حق بیمه 30%" totalsRowFunction="sum" dataDxfId="15" totalsRowDxfId="14">
      <calculatedColumnFormula>IFERROR(ج_ح_فروردین2840[[#This Row],[جمع حقوق و مزایای مشمول بیمه ]]*30%,"")</calculatedColumnFormula>
    </tableColumn>
    <tableColumn id="9" xr3:uid="{00000000-0010-0000-0D00-000009000000}" name="وام" totalsRowFunction="sum" dataDxfId="13" totalsRowDxfId="12"/>
    <tableColumn id="22" xr3:uid="{00000000-0010-0000-0D00-000016000000}" name="مساعده" totalsRowFunction="sum" dataDxfId="11" totalsRowDxfId="10"/>
    <tableColumn id="24" xr3:uid="{00000000-0010-0000-0D00-000018000000}" name="مالیات پرداختنی" totalsRowFunction="sum" dataDxfId="9" totalsRowDxfId="8"/>
    <tableColumn id="25" xr3:uid="{00000000-0010-0000-0D00-000019000000}" name="جمع کسورات" totalsRowFunction="sum" dataDxfId="7" totalsRowDxfId="6">
      <calculatedColumnFormula>IFERROR(ج_ح_فروردین2840[[#This Row],[سهم بیمه کارمند 7%]]+ج_ح_فروردین2840[[#This Row],[وام]]+ج_ح_فروردین2840[[#This Row],[مساعده]]+ج_ح_فروردین2840[[#This Row],[مالیات پرداختنی]],"")</calculatedColumnFormula>
    </tableColumn>
    <tableColumn id="26" xr3:uid="{00000000-0010-0000-0D00-00001A000000}" name="خالص قابل پرداخت" totalsRowFunction="sum" dataDxfId="5" totalsRowDxfId="4">
      <calculatedColumnFormula>IFERROR(ج_ح_فروردین2840[[#This Row],[جمع حقوق و مزایا]]-ج_ح_فروردین2840[[#This Row],[جمع کسورات]],"")</calculatedColumnFormula>
    </tableColumn>
    <tableColumn id="7" xr3:uid="{00000000-0010-0000-0D00-000007000000}" name="تاریخ ارسال لیست به اداره مالیات" dataDxfId="3" totalsRowDxfId="2"/>
    <tableColumn id="8" xr3:uid="{00000000-0010-0000-0D00-000008000000}" name="شماره قبض مالیات" dataDxfId="1" totalsRowDxfId="0"/>
  </tableColumns>
  <tableStyleInfo name="TableStyleLight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341C073-4692-4A98-A004-4E633F3D0144}" name="ج_ح_اردیبهشت15" displayName="ج_ح_اردیبهشت15" ref="C43:W74" totalsRowCount="1" headerRowDxfId="577" dataDxfId="576" totalsRowDxfId="574" tableBorderDxfId="575" dataCellStyle="Comma">
  <autoFilter ref="C43:W73" xr:uid="{00000000-0009-0000-0100-000001000000}"/>
  <tableColumns count="21">
    <tableColumn id="1" xr3:uid="{75A3CDB4-3CC0-4AC8-A6A6-1C75D38BC584}" name="ردیف" dataDxfId="573" totalsRowDxfId="572">
      <calculatedColumnFormula>IF(ج_ح_اردیبهشت15[[#This Row],[نام]]&lt;&gt;"",ROW()-44+1,"")</calculatedColumnFormula>
    </tableColumn>
    <tableColumn id="2" xr3:uid="{86A45E1A-5C2C-4AA2-860F-494F26BCAC16}" name="نام" dataDxfId="571" totalsRowDxfId="570"/>
    <tableColumn id="21" xr3:uid="{B74D5304-9753-46C5-9413-E953DC9CC437}" name="نام خانوادگی" totalsRowLabel="جمع" dataDxfId="569" totalsRowDxfId="568"/>
    <tableColumn id="3" xr3:uid="{FEABBA38-46E2-4C3F-AAE3-5B4862A0CB83}" name="کارکرد" totalsRowFunction="sum" dataDxfId="567" totalsRowDxfId="566"/>
    <tableColumn id="4" xr3:uid="{E8986A4E-37FC-47E0-B3DC-4D2190D482DB}" name="دستمزد روزانه " totalsRowFunction="sum" dataDxfId="565" totalsRowDxfId="564" dataCellStyle="Comma"/>
    <tableColumn id="5" xr3:uid="{A832BAFD-6379-49DA-8F26-FD7A9BC991D7}" name="حقوق پایه" totalsRowFunction="sum" dataDxfId="563" totalsRowDxfId="562" dataCellStyle="Comma">
      <calculatedColumnFormula>IF(ج_ح_اردیبهشت15[[#This Row],[کارکرد]]*ج_ح_اردیبهشت15[[#This Row],[دستمزد روزانه ]]=0,"",ج_ح_اردیبهشت15[[#This Row],[کارکرد]]*ج_ح_اردیبهشت15[[#This Row],[دستمزد روزانه ]])</calculatedColumnFormula>
    </tableColumn>
    <tableColumn id="6" xr3:uid="{ECB96199-AA47-46D7-858A-E37FC663EF21}" name="مدت اضافه کاری " totalsRowFunction="sum" dataDxfId="561" totalsRowDxfId="560" dataCellStyle="Comma"/>
    <tableColumn id="7" xr3:uid="{2E51A64D-BE0A-41C5-9A13-917B34F4696D}" name="اضافه کاری" totalsRowFunction="sum" dataDxfId="559" totalsRowDxfId="558" dataCellStyle="Comma">
      <calculatedColumnFormula>(ج_ح_اردیبهشت15[[#This Row],[دستمزد روزانه ]]/7.33)*1.4*ج_ح_اردیبهشت15[[#This Row],[مدت اضافه کاری ]]</calculatedColumnFormula>
    </tableColumn>
    <tableColumn id="8" xr3:uid="{C14E4C33-FA2D-4E62-A775-BC7F18A4EE58}" name="حق مسکن" totalsRowFunction="sum" dataDxfId="557" totalsRowDxfId="556" dataCellStyle="Comma">
      <calculatedColumnFormula>IF(ج_ح_اردیبهشت15[[#This Row],[کارکرد]]="","",ج_ح_اردیبهشت15[[#This Row],[کارکرد]]*حق_مسکن/30)</calculatedColumnFormula>
    </tableColumn>
    <tableColumn id="9" xr3:uid="{3F4757BF-B0BC-4C59-92C8-67AFE9615900}" name="تعداد فرزندان" totalsRowFunction="sum" dataDxfId="555" totalsRowDxfId="554" dataCellStyle="Comma"/>
    <tableColumn id="10" xr3:uid="{15C79744-7E87-4D6E-9D2F-DEA85A6C120E}" name="حق اولاد" totalsRowFunction="sum" dataDxfId="553" totalsRowDxfId="552" dataCellStyle="Comma">
      <calculatedColumnFormula>IF(ج_ح_اردیبهشت15[[#This Row],[تعداد فرزندان]]="","",ج_ح_اردیبهشت15[[#This Row],[کارکرد]]/31*3*ج_ح_اردیبهشت15[[#This Row],[تعداد فرزندان]]*حداقل_حقوق_پایه_روزانه)</calculatedColumnFormula>
    </tableColumn>
    <tableColumn id="11" xr3:uid="{451D9E19-4854-48F5-B211-0E8B22A678C0}" name="حق و خواروبار" totalsRowFunction="sum" dataDxfId="551" totalsRowDxfId="550" dataCellStyle="Comma">
      <calculatedColumnFormula>IF(ج_ح_اردیبهشت15[[#This Row],[کارکرد]]="","",ج_ح_اردیبهشت15[[#This Row],[کارکرد]]*حق_خواربار/30)</calculatedColumnFormula>
    </tableColumn>
    <tableColumn id="12" xr3:uid="{259DBB5D-5736-4F29-9C77-E43C03F21200}" name="جمع ح و م" totalsRowFunction="sum" dataDxfId="549" totalsRowDxfId="548" dataCellStyle="Comma">
      <calculatedColumnFormula>IFERROR(ج_ح_اردیبهشت15[[#This Row],[حقوق پایه]]+ج_ح_اردیبهشت15[[#This Row],[اضافه کاری]]+ج_ح_اردیبهشت15[[#This Row],[حق مسکن]]+ج_ح_اردیبهشت15[[#This Row],[حق اولاد]]+ج_ح_اردیبهشت15[[#This Row],[حق و خواروبار]],"")</calculatedColumnFormula>
    </tableColumn>
    <tableColumn id="13" xr3:uid="{3669F448-7729-47D4-8C91-2C76B92E03C1}" name="جمع ح و م م بیمه " totalsRowFunction="sum" dataDxfId="547" totalsRowDxfId="546" dataCellStyle="Comma">
      <calculatedColumnFormula>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calculatedColumnFormula>
    </tableColumn>
    <tableColumn id="14" xr3:uid="{198C065F-24E4-4385-B640-5DD02B5EC705}" name="جمع ح و م م مالیات" totalsRowFunction="sum" dataDxfId="545" totalsRowDxfId="544" dataCellStyle="Comma">
      <calculatedColumnFormula>IFERROR(ج_ح_اردیبهشت15[[#This Row],[حقوق پایه]]+ج_ح_اردیبهشت15[[#This Row],[اضافه کاری]]-(2/7)*ج_ح_اردیبهشت15[[#This Row],[بیمه پرداختنی]],"")</calculatedColumnFormula>
    </tableColumn>
    <tableColumn id="15" xr3:uid="{963A87E2-27B1-4336-AB74-DFA6AF016D6D}" name="وام" totalsRowFunction="sum" dataDxfId="543" totalsRowDxfId="542" dataCellStyle="Comma"/>
    <tableColumn id="16" xr3:uid="{30830D48-0270-4D50-92D3-EC17E3FFF0A0}" name="مساعده" totalsRowFunction="sum" dataDxfId="541" totalsRowDxfId="540" dataCellStyle="Comma"/>
    <tableColumn id="17" xr3:uid="{EA2B45D7-4D62-4E18-B199-C3874306821E}" name="بیمه پرداختنی" totalsRowFunction="sum" dataDxfId="539" totalsRowDxfId="538" dataCellStyle="Comma">
      <calculatedColumnFormula>IFERROR(ج_ح_اردیبهشت15[[#This Row],[جمع ح و م م بیمه ]]*7%,"")</calculatedColumnFormula>
    </tableColumn>
    <tableColumn id="18" xr3:uid="{A0181AEC-EB68-4AA1-9DC5-C34D6BC0E7E4}" name="مالیات پرداختنی" totalsRowFunction="sum" dataDxfId="537" totalsRowDxfId="536">
      <calculatedColumnFormula>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calculatedColumnFormula>
    </tableColumn>
    <tableColumn id="19" xr3:uid="{FEF04284-2D8C-41FA-930E-F090D4C79480}" name="جمع کسورات" totalsRowFunction="sum" dataDxfId="535" totalsRowDxfId="534" dataCellStyle="Comma">
      <calculatedColumnFormula>IFERROR(ج_ح_اردیبهشت15[[#This Row],[وام]]+ج_ح_اردیبهشت15[[#This Row],[مساعده]]+ج_ح_اردیبهشت15[[#This Row],[بیمه پرداختنی]]+ج_ح_اردیبهشت15[[#This Row],[مالیات پرداختنی]],"")</calculatedColumnFormula>
    </tableColumn>
    <tableColumn id="20" xr3:uid="{FA0706D9-6118-4097-BB45-3AEBFA204CDE}" name="خالص قابل پرداخت" totalsRowFunction="sum" dataDxfId="533" totalsRowDxfId="532" dataCellStyle="Comma">
      <calculatedColumnFormula>IFERROR(ج_ح_اردیبهشت15[[#This Row],[جمع ح و م]]-ج_ح_اردیبهشت15[[#This Row],[جمع کسورات]],"")</calculatedColumnFormula>
    </tableColumn>
  </tableColumns>
  <tableStyleInfo name="TableStyleLight1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460AB83-A0E0-4E47-A148-0033531B5B38}" name="ج_ح_خرداد16" displayName="ج_ح_خرداد16" ref="C80:W111" totalsRowCount="1" headerRowDxfId="531" dataDxfId="530" totalsRowDxfId="528" tableBorderDxfId="529" dataCellStyle="Comma">
  <autoFilter ref="C80:W110" xr:uid="{00000000-0009-0000-0100-000003000000}"/>
  <tableColumns count="21">
    <tableColumn id="1" xr3:uid="{F429D27C-CECF-49A5-977E-9A63617C5D6A}" name="ردیف" dataDxfId="527" totalsRowDxfId="526">
      <calculatedColumnFormula>IF(ج_ح_خرداد16[[#This Row],[نام]]&lt;&gt;"",ROW()-81+1,"")</calculatedColumnFormula>
    </tableColumn>
    <tableColumn id="2" xr3:uid="{3251CAF5-F1BB-4C52-BE1E-DCC245AAFB4B}" name="نام" dataDxfId="525" totalsRowDxfId="524"/>
    <tableColumn id="21" xr3:uid="{625F83E5-D79C-4EC7-8400-594ABB0A2D29}" name="نام خانوادگی" totalsRowLabel="جمع" dataDxfId="523" totalsRowDxfId="522"/>
    <tableColumn id="3" xr3:uid="{8163585C-2951-48C8-B5BF-252011C38E76}" name="کارکرد" totalsRowFunction="sum" dataDxfId="521" totalsRowDxfId="520"/>
    <tableColumn id="4" xr3:uid="{ED985E39-5ED6-483E-B085-9EBAAF3EAA6F}" name="دستمزد روزانه " totalsRowFunction="sum" dataDxfId="519" totalsRowDxfId="518" dataCellStyle="Comma"/>
    <tableColumn id="5" xr3:uid="{C5B67527-1B65-4C7A-82C2-359D34D9550E}" name="حقوق پایه" totalsRowFunction="sum" dataDxfId="517" totalsRowDxfId="516" dataCellStyle="Comma">
      <calculatedColumnFormula>IF(ج_ح_خرداد16[[#This Row],[کارکرد]]*ج_ح_خرداد16[[#This Row],[دستمزد روزانه ]]=0,"",ج_ح_خرداد16[[#This Row],[کارکرد]]*ج_ح_خرداد16[[#This Row],[دستمزد روزانه ]])</calculatedColumnFormula>
    </tableColumn>
    <tableColumn id="6" xr3:uid="{D4E051A1-10D0-4ABF-B486-E9833D6800B1}" name="مدت اضافه کاری " totalsRowFunction="sum" dataDxfId="515" totalsRowDxfId="514" dataCellStyle="Comma"/>
    <tableColumn id="7" xr3:uid="{0FBCBDBB-2A1A-4577-9950-434D88C333F9}" name="اضافه کاری" totalsRowFunction="sum" dataDxfId="513" totalsRowDxfId="512" dataCellStyle="Comma">
      <calculatedColumnFormula>(ج_ح_خرداد16[[#This Row],[دستمزد روزانه ]]/7.33)*1.4*ج_ح_خرداد16[[#This Row],[مدت اضافه کاری ]]</calculatedColumnFormula>
    </tableColumn>
    <tableColumn id="8" xr3:uid="{298B76AA-B14C-4D3B-B5B5-94FBA1C8F4AE}" name="حق مسکن" totalsRowFunction="sum" dataDxfId="511" totalsRowDxfId="510" dataCellStyle="Comma">
      <calculatedColumnFormula>IF(ج_ح_خرداد16[[#This Row],[کارکرد]]="","",ج_ح_خرداد16[[#This Row],[کارکرد]]*حق_مسکن/30)</calculatedColumnFormula>
    </tableColumn>
    <tableColumn id="9" xr3:uid="{6DB59710-5983-4F01-B2A7-20DBCB5D6B8C}" name="تعداد فرزندان" totalsRowFunction="sum" dataDxfId="509" totalsRowDxfId="508" dataCellStyle="Comma"/>
    <tableColumn id="10" xr3:uid="{B1B4E112-19FB-4C0A-8471-0FCF917FE624}" name="حق اولاد" totalsRowFunction="sum" dataDxfId="507" totalsRowDxfId="506" dataCellStyle="Comma">
      <calculatedColumnFormula>IF(ج_ح_خرداد16[[#This Row],[تعداد فرزندان]]="","",ج_ح_خرداد16[[#This Row],[کارکرد]]/31*3*ج_ح_خرداد16[[#This Row],[تعداد فرزندان]]*حداقل_حقوق_پایه_روزانه)</calculatedColumnFormula>
    </tableColumn>
    <tableColumn id="11" xr3:uid="{3027774A-84D2-4486-BE31-FE89FBCDE24B}" name="حق و خواروبار" totalsRowFunction="sum" dataDxfId="505" totalsRowDxfId="504" dataCellStyle="Comma">
      <calculatedColumnFormula>IF(ج_ح_خرداد16[[#This Row],[کارکرد]]="","",ج_ح_خرداد16[[#This Row],[کارکرد]]*حق_خواربار/30)</calculatedColumnFormula>
    </tableColumn>
    <tableColumn id="12" xr3:uid="{3762F669-0DF3-4547-BF84-32E02F72AF9C}" name="جمع ح و م" totalsRowFunction="sum" dataDxfId="503" totalsRowDxfId="502" dataCellStyle="Comma">
      <calculatedColumnFormula>IFERROR(ج_ح_خرداد16[[#This Row],[حقوق پایه]]+ج_ح_خرداد16[[#This Row],[اضافه کاری]]+ج_ح_خرداد16[[#This Row],[حق مسکن]]+ج_ح_خرداد16[[#This Row],[حق اولاد]]+ج_ح_خرداد16[[#This Row],[حق و خواروبار]],"")</calculatedColumnFormula>
    </tableColumn>
    <tableColumn id="13" xr3:uid="{DCF3F6A9-C1DC-41AE-AC29-85BF6CECB116}" name="جمع ح و م م بیمه " totalsRowFunction="sum" dataDxfId="501" totalsRowDxfId="500" dataCellStyle="Comma">
      <calculatedColumnFormula>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calculatedColumnFormula>
    </tableColumn>
    <tableColumn id="14" xr3:uid="{9B324A03-C2C2-4D5D-8184-98C30B19B072}" name="جمع ح و م م مالیات" totalsRowFunction="sum" dataDxfId="499" totalsRowDxfId="498" dataCellStyle="Comma">
      <calculatedColumnFormula>IFERROR(ج_ح_خرداد16[[#This Row],[حقوق پایه]]+ج_ح_خرداد16[[#This Row],[اضافه کاری]]-(2/7)*ج_ح_خرداد16[[#This Row],[بیمه پرداختنی]],"")</calculatedColumnFormula>
    </tableColumn>
    <tableColumn id="15" xr3:uid="{DE3717F6-A285-4EED-B23E-E129D33A5B3F}" name="وام" totalsRowFunction="sum" dataDxfId="497" totalsRowDxfId="496" dataCellStyle="Comma"/>
    <tableColumn id="16" xr3:uid="{317A38EE-A9F0-48F9-B2E7-704C85D565EB}" name="مساعده" totalsRowFunction="sum" dataDxfId="495" totalsRowDxfId="494" dataCellStyle="Comma"/>
    <tableColumn id="17" xr3:uid="{9BEF78F8-99B9-4916-946E-F06C46579B96}" name="بیمه پرداختنی" totalsRowFunction="sum" dataDxfId="493" totalsRowDxfId="492" dataCellStyle="Comma">
      <calculatedColumnFormula>IFERROR(ج_ح_خرداد16[[#This Row],[جمع ح و م م بیمه ]]*7%,"")</calculatedColumnFormula>
    </tableColumn>
    <tableColumn id="18" xr3:uid="{6E40BFA8-6790-46A9-8CD6-D56AEB74511C}" name="مالیات پرداختنی" totalsRowFunction="sum" dataDxfId="491" totalsRowDxfId="490">
      <calculatedColumnFormula>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calculatedColumnFormula>
    </tableColumn>
    <tableColumn id="19" xr3:uid="{B7D612FA-39E5-46ED-BA7D-8C5683C03B8A}" name="جمع کسورات" totalsRowFunction="sum" dataDxfId="489" totalsRowDxfId="488" dataCellStyle="Comma">
      <calculatedColumnFormula>IFERROR(ج_ح_خرداد16[[#This Row],[وام]]+ج_ح_خرداد16[[#This Row],[مساعده]]+ج_ح_خرداد16[[#This Row],[بیمه پرداختنی]]+ج_ح_خرداد16[[#This Row],[مالیات پرداختنی]],"")</calculatedColumnFormula>
    </tableColumn>
    <tableColumn id="20" xr3:uid="{B7C1B721-678C-4311-A3BF-2F79EEAEB578}" name="خالص قابل پرداخت" totalsRowFunction="sum" dataDxfId="487" totalsRowDxfId="486" dataCellStyle="Comma">
      <calculatedColumnFormula>IFERROR(ج_ح_خرداد16[[#This Row],[جمع ح و م]]-ج_ح_خرداد16[[#This Row],[جمع کسورات]],"")</calculatedColumnFormula>
    </tableColumn>
  </tableColumns>
  <tableStyleInfo name="TableStyleLight1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303FC98-83AC-48C9-8168-98B6BD3BA1C4}" name="ج_ح_تیر17" displayName="ج_ح_تیر17" ref="C117:W148" totalsRowCount="1" headerRowDxfId="485" dataDxfId="484" totalsRowDxfId="482" tableBorderDxfId="483" dataCellStyle="Comma">
  <autoFilter ref="C117:W147" xr:uid="{00000000-0009-0000-0100-000004000000}"/>
  <tableColumns count="21">
    <tableColumn id="1" xr3:uid="{BA107BD1-9B78-4BFF-98B0-2EB86B594EF2}" name="ردیف" dataDxfId="481" totalsRowDxfId="480">
      <calculatedColumnFormula>IF(ج_ح_تیر17[[#This Row],[نام]]&lt;&gt;"",ROW()-118+1,"")</calculatedColumnFormula>
    </tableColumn>
    <tableColumn id="2" xr3:uid="{FD64F482-E30A-4D98-B347-E9B26634E53D}" name="نام" dataDxfId="479" totalsRowDxfId="478"/>
    <tableColumn id="21" xr3:uid="{EF4FE538-4858-4D07-8613-5F798EB92C11}" name="نام خانوادگی" totalsRowLabel="جمع" dataDxfId="477" totalsRowDxfId="476"/>
    <tableColumn id="3" xr3:uid="{F4B7C5A2-52A5-4465-ABC9-13102A569028}" name="کارکرد" totalsRowFunction="sum" dataDxfId="475" totalsRowDxfId="474"/>
    <tableColumn id="4" xr3:uid="{EC34C762-F531-46D9-AE9B-D3FD2656337F}" name="دستمزد روزانه " totalsRowFunction="sum" dataDxfId="473" totalsRowDxfId="472" dataCellStyle="Comma"/>
    <tableColumn id="5" xr3:uid="{98935E6C-5223-48E0-A862-9DC6BDEE0D02}" name="حقوق پایه" totalsRowFunction="sum" dataDxfId="471" totalsRowDxfId="470" dataCellStyle="Comma">
      <calculatedColumnFormula>IF(ج_ح_تیر17[[#This Row],[کارکرد]]*ج_ح_تیر17[[#This Row],[دستمزد روزانه ]]=0,"",ج_ح_تیر17[[#This Row],[کارکرد]]*ج_ح_تیر17[[#This Row],[دستمزد روزانه ]])</calculatedColumnFormula>
    </tableColumn>
    <tableColumn id="6" xr3:uid="{D6EF6C5F-84D6-42E9-9AF5-651B57B133A3}" name="مدت اضافه کاری " totalsRowFunction="sum" dataDxfId="469" totalsRowDxfId="468" dataCellStyle="Comma"/>
    <tableColumn id="7" xr3:uid="{54705C16-04F7-4E5F-A11C-8C0015955849}" name="اضافه کاری" totalsRowFunction="sum" dataDxfId="467" totalsRowDxfId="466" dataCellStyle="Comma">
      <calculatedColumnFormula>(ج_ح_تیر17[[#This Row],[دستمزد روزانه ]]/7.33)*1.4*ج_ح_تیر17[[#This Row],[مدت اضافه کاری ]]</calculatedColumnFormula>
    </tableColumn>
    <tableColumn id="8" xr3:uid="{7CE9EBF8-2095-4D3B-84D3-F6B8A0499446}" name="حق مسکن" totalsRowFunction="sum" dataDxfId="465" totalsRowDxfId="464" dataCellStyle="Comma">
      <calculatedColumnFormula>IF(ج_ح_تیر17[[#This Row],[کارکرد]]="","",ج_ح_تیر17[[#This Row],[کارکرد]]*حق_مسکن/30)</calculatedColumnFormula>
    </tableColumn>
    <tableColumn id="9" xr3:uid="{BF2FE595-682E-421C-9C46-B423A4CCF772}" name="تعداد فرزندان" totalsRowFunction="sum" dataDxfId="463" totalsRowDxfId="462" dataCellStyle="Comma"/>
    <tableColumn id="10" xr3:uid="{B9DE0274-2B2F-4DE6-8691-3682B09A125A}" name="حق اولاد" totalsRowFunction="sum" dataDxfId="461" totalsRowDxfId="460" dataCellStyle="Comma">
      <calculatedColumnFormula>IF(ج_ح_تیر17[[#This Row],[تعداد فرزندان]]="","",ج_ح_تیر17[[#This Row],[کارکرد]]/31*3*ج_ح_تیر17[[#This Row],[تعداد فرزندان]]*حداقل_حقوق_پایه_روزانه)</calculatedColumnFormula>
    </tableColumn>
    <tableColumn id="11" xr3:uid="{6B927232-6A9E-4085-9385-62CC1E10A436}" name="حق و خواروبار" totalsRowFunction="sum" dataDxfId="459" totalsRowDxfId="458" dataCellStyle="Comma">
      <calculatedColumnFormula>IF(ج_ح_تیر17[[#This Row],[کارکرد]]="","",ج_ح_تیر17[[#This Row],[کارکرد]]*حق_خواربار/30)</calculatedColumnFormula>
    </tableColumn>
    <tableColumn id="12" xr3:uid="{01E585B5-3CCB-48CE-BBBC-E1BEB9C51C11}" name="جمع ح و م" totalsRowFunction="sum" dataDxfId="457" totalsRowDxfId="456" dataCellStyle="Comma">
      <calculatedColumnFormula>IFERROR(ج_ح_تیر17[[#This Row],[حقوق پایه]]+ج_ح_تیر17[[#This Row],[اضافه کاری]]+ج_ح_تیر17[[#This Row],[حق مسکن]]+ج_ح_تیر17[[#This Row],[حق اولاد]]+ج_ح_تیر17[[#This Row],[حق و خواروبار]],"")</calculatedColumnFormula>
    </tableColumn>
    <tableColumn id="13" xr3:uid="{FACA3BE1-567F-4296-9845-62F3471D6942}" name="جمع ح و م م بیمه " totalsRowFunction="sum" dataDxfId="455" totalsRowDxfId="454" dataCellStyle="Comma">
      <calculatedColumnFormula>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calculatedColumnFormula>
    </tableColumn>
    <tableColumn id="14" xr3:uid="{4340643D-47B8-4DAC-BEF3-940DD70BF199}" name="جمع ح و م م مالیات" totalsRowFunction="sum" dataDxfId="453" totalsRowDxfId="452" dataCellStyle="Comma">
      <calculatedColumnFormula>IFERROR(ج_ح_تیر17[[#This Row],[حقوق پایه]]+ج_ح_تیر17[[#This Row],[اضافه کاری]]-(2/7)*ج_ح_تیر17[[#This Row],[بیمه پرداختنی]],"")</calculatedColumnFormula>
    </tableColumn>
    <tableColumn id="15" xr3:uid="{ADDD920F-6A83-4348-A662-DF2E3FF02339}" name="وام" totalsRowFunction="sum" dataDxfId="451" totalsRowDxfId="450" dataCellStyle="Comma"/>
    <tableColumn id="16" xr3:uid="{139346E3-AEAF-4B5E-8326-077F10DCC9DE}" name="مساعده" totalsRowFunction="sum" dataDxfId="449" totalsRowDxfId="448" dataCellStyle="Comma"/>
    <tableColumn id="17" xr3:uid="{F41ADA48-4AF7-4B77-BE02-E931CA1C8A8D}" name="بیمه پرداختنی" totalsRowFunction="sum" dataDxfId="447" totalsRowDxfId="446" dataCellStyle="Comma">
      <calculatedColumnFormula>IFERROR(ج_ح_تیر17[[#This Row],[جمع ح و م م بیمه ]]*7%,"")</calculatedColumnFormula>
    </tableColumn>
    <tableColumn id="18" xr3:uid="{F5F3211D-AB29-43EA-ADB0-8B06F7273F7B}" name="مالیات پرداختنی" totalsRowFunction="sum" dataDxfId="445" totalsRowDxfId="444">
      <calculatedColumnFormula>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calculatedColumnFormula>
    </tableColumn>
    <tableColumn id="19" xr3:uid="{F09B879A-2C96-402F-8CFD-A109B59CF46E}" name="جمع کسورات" totalsRowFunction="sum" dataDxfId="443" totalsRowDxfId="442" dataCellStyle="Comma">
      <calculatedColumnFormula>IFERROR(ج_ح_تیر17[[#This Row],[وام]]+ج_ح_تیر17[[#This Row],[مساعده]]+ج_ح_تیر17[[#This Row],[بیمه پرداختنی]]+ج_ح_تیر17[[#This Row],[مالیات پرداختنی]],"")</calculatedColumnFormula>
    </tableColumn>
    <tableColumn id="20" xr3:uid="{A2113380-1360-45FF-A261-A8FE75EAAC8F}" name="خالص قابل پرداخت" totalsRowFunction="sum" dataDxfId="441" totalsRowDxfId="440" dataCellStyle="Comma">
      <calculatedColumnFormula>IFERROR(ج_ح_تیر17[[#This Row],[جمع ح و م]]-ج_ح_تیر17[[#This Row],[جمع کسورات]],"")</calculatedColumnFormula>
    </tableColumn>
  </tableColumns>
  <tableStyleInfo name="TableStyleLight1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A5CB55F-7E7E-4744-B4F7-CBD3AC202A0D}" name="ج_ح_مرداد18" displayName="ج_ح_مرداد18" ref="C154:W185" totalsRowCount="1" headerRowDxfId="439" dataDxfId="438" totalsRowDxfId="436" tableBorderDxfId="437" dataCellStyle="Comma">
  <autoFilter ref="C154:W184" xr:uid="{00000000-0009-0000-0100-000005000000}"/>
  <tableColumns count="21">
    <tableColumn id="1" xr3:uid="{20A567F5-CAD8-4E09-878D-D5E789BDCAF3}" name="ردیف" dataDxfId="435" totalsRowDxfId="434">
      <calculatedColumnFormula>IF(ج_ح_مرداد18[[#This Row],[نام]]&lt;&gt;"",ROW()-155+1,"")</calculatedColumnFormula>
    </tableColumn>
    <tableColumn id="2" xr3:uid="{77C1272E-69E1-4082-A9BA-E2FBD3FC14B9}" name="نام" dataDxfId="433" totalsRowDxfId="432"/>
    <tableColumn id="21" xr3:uid="{F2997132-0ADA-4302-AFE6-28F9C41A476C}" name="نام خانوادگی" totalsRowLabel="جمع" dataDxfId="431" totalsRowDxfId="430"/>
    <tableColumn id="3" xr3:uid="{CE4F0DF7-7894-4B25-B0B9-41FC71FDB08B}" name="کارکرد" totalsRowFunction="sum" dataDxfId="429" totalsRowDxfId="428"/>
    <tableColumn id="4" xr3:uid="{9AABCA68-EEC4-460F-B1D4-6DAEEF5CE463}" name="دستمزد روزانه " totalsRowFunction="sum" dataDxfId="427" totalsRowDxfId="426" dataCellStyle="Comma"/>
    <tableColumn id="5" xr3:uid="{364767F0-4DAC-439D-8B6F-68802106E5D7}" name="حقوق پایه" totalsRowFunction="sum" dataDxfId="425" totalsRowDxfId="424" dataCellStyle="Comma">
      <calculatedColumnFormula>IF(ج_ح_مرداد18[[#This Row],[کارکرد]]*ج_ح_مرداد18[[#This Row],[دستمزد روزانه ]]=0,"",ج_ح_مرداد18[[#This Row],[کارکرد]]*ج_ح_مرداد18[[#This Row],[دستمزد روزانه ]])</calculatedColumnFormula>
    </tableColumn>
    <tableColumn id="6" xr3:uid="{1CD553A5-D904-4373-947E-2D85F90355FF}" name="مدت اضافه کاری " totalsRowFunction="sum" dataDxfId="423" totalsRowDxfId="422" dataCellStyle="Comma"/>
    <tableColumn id="7" xr3:uid="{82A4B59E-A20F-4050-A4A0-6E3433D4F2A0}" name="اضافه کاری" totalsRowFunction="sum" dataDxfId="421" totalsRowDxfId="420" dataCellStyle="Comma">
      <calculatedColumnFormula>(ج_ح_مرداد18[[#This Row],[دستمزد روزانه ]]/7.33)*1.4*ج_ح_مرداد18[[#This Row],[مدت اضافه کاری ]]</calculatedColumnFormula>
    </tableColumn>
    <tableColumn id="8" xr3:uid="{37C59DE2-5BA7-4C01-97DF-8356CC98DD99}" name="حق مسکن" totalsRowFunction="sum" dataDxfId="419" totalsRowDxfId="418" dataCellStyle="Comma">
      <calculatedColumnFormula>IF(ج_ح_مرداد18[[#This Row],[کارکرد]]="","",ج_ح_مرداد18[[#This Row],[کارکرد]]*حق_مسکن/30)</calculatedColumnFormula>
    </tableColumn>
    <tableColumn id="9" xr3:uid="{CE0F089F-E621-4907-8DA2-5DA4CE7D29E6}" name="تعداد فرزندان" totalsRowFunction="sum" dataDxfId="417" totalsRowDxfId="416" dataCellStyle="Comma"/>
    <tableColumn id="10" xr3:uid="{2D032246-DF9F-44DF-BEF2-24EBB8B61721}" name="حق اولاد" totalsRowFunction="sum" dataDxfId="415" totalsRowDxfId="414" dataCellStyle="Comma">
      <calculatedColumnFormula>IF(ج_ح_مرداد18[[#This Row],[تعداد فرزندان]]="","",ج_ح_مرداد18[[#This Row],[کارکرد]]/31*3*ج_ح_مرداد18[[#This Row],[تعداد فرزندان]]*حداقل_حقوق_پایه_روزانه)</calculatedColumnFormula>
    </tableColumn>
    <tableColumn id="11" xr3:uid="{49ADA2CA-5746-4687-A9E4-6E201A089ADC}" name="حق و خواروبار" totalsRowFunction="sum" dataDxfId="413" totalsRowDxfId="412" dataCellStyle="Comma">
      <calculatedColumnFormula>IF(ج_ح_مرداد18[[#This Row],[کارکرد]]="","",ج_ح_مرداد18[[#This Row],[کارکرد]]*حق_خواربار/30)</calculatedColumnFormula>
    </tableColumn>
    <tableColumn id="12" xr3:uid="{22A19744-09A1-4FE7-A94F-C461543E5490}" name="جمع ح و م" totalsRowFunction="sum" dataDxfId="411" totalsRowDxfId="410" dataCellStyle="Comma">
      <calculatedColumnFormula>IFERROR(ج_ح_مرداد18[[#This Row],[حقوق پایه]]+ج_ح_مرداد18[[#This Row],[اضافه کاری]]+ج_ح_مرداد18[[#This Row],[حق مسکن]]+ج_ح_مرداد18[[#This Row],[حق اولاد]]+ج_ح_مرداد18[[#This Row],[حق و خواروبار]],"")</calculatedColumnFormula>
    </tableColumn>
    <tableColumn id="13" xr3:uid="{570680D1-1028-4CFA-9A64-DB4AE9F8E9CE}" name="جمع ح و م م بیمه " totalsRowFunction="sum" dataDxfId="409" totalsRowDxfId="408" dataCellStyle="Comma">
      <calculatedColumnFormula>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calculatedColumnFormula>
    </tableColumn>
    <tableColumn id="14" xr3:uid="{AE9B6585-4518-4475-938B-B235ABCF72A2}" name="جمع ح و م م مالیات" totalsRowFunction="sum" dataDxfId="407" totalsRowDxfId="406" dataCellStyle="Comma">
      <calculatedColumnFormula>IFERROR(ج_ح_مرداد18[[#This Row],[حقوق پایه]]+ج_ح_مرداد18[[#This Row],[اضافه کاری]]-(2/7)*ج_ح_مرداد18[[#This Row],[بیمه پرداختنی]],"")</calculatedColumnFormula>
    </tableColumn>
    <tableColumn id="15" xr3:uid="{E384975B-7024-4FA0-A138-D3741B49740C}" name="وام" totalsRowFunction="sum" dataDxfId="405" totalsRowDxfId="404" dataCellStyle="Comma"/>
    <tableColumn id="16" xr3:uid="{0EF9F5FC-52FF-4736-A607-8F2C2970B5BB}" name="مساعده" totalsRowFunction="sum" dataDxfId="403" totalsRowDxfId="402" dataCellStyle="Comma"/>
    <tableColumn id="17" xr3:uid="{42D5C8AD-D952-42D8-8684-920AF2017FD6}" name="بیمه پرداختنی" totalsRowFunction="sum" dataDxfId="401" totalsRowDxfId="400" dataCellStyle="Comma">
      <calculatedColumnFormula>IFERROR(ج_ح_مرداد18[[#This Row],[جمع ح و م م بیمه ]]*7%,"")</calculatedColumnFormula>
    </tableColumn>
    <tableColumn id="18" xr3:uid="{BCFBA388-DB60-4F79-9E30-F0F0F2E07206}" name="مالیات پرداختنی" totalsRowFunction="sum" dataDxfId="399" totalsRowDxfId="398">
      <calculatedColumnFormula>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calculatedColumnFormula>
    </tableColumn>
    <tableColumn id="19" xr3:uid="{2545F745-4898-4FB1-B647-8D34022ED30D}" name="جمع کسورات" totalsRowFunction="sum" dataDxfId="397" totalsRowDxfId="396" dataCellStyle="Comma">
      <calculatedColumnFormula>IFERROR(ج_ح_مرداد18[[#This Row],[وام]]+ج_ح_مرداد18[[#This Row],[مساعده]]+ج_ح_مرداد18[[#This Row],[بیمه پرداختنی]]+ج_ح_مرداد18[[#This Row],[مالیات پرداختنی]],"")</calculatedColumnFormula>
    </tableColumn>
    <tableColumn id="20" xr3:uid="{3CBF1A11-6A99-4A82-8913-AB474D395495}" name="خالص قابل پرداخت" totalsRowFunction="sum" dataDxfId="395" totalsRowDxfId="394" dataCellStyle="Comma">
      <calculatedColumnFormula>IFERROR(ج_ح_مرداد18[[#This Row],[جمع ح و م]]-ج_ح_مرداد18[[#This Row],[جمع کسورات]],"")</calculatedColumnFormula>
    </tableColumn>
  </tableColumns>
  <tableStyleInfo name="TableStyleLight1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C3ECD88-75CF-4522-BEC2-1D8304A80C57}" name="ج_ح_شهریور19" displayName="ج_ح_شهریور19" ref="C191:W222" totalsRowCount="1" headerRowDxfId="393" dataDxfId="392" totalsRowDxfId="390" tableBorderDxfId="391" dataCellStyle="Comma">
  <autoFilter ref="C191:W221" xr:uid="{00000000-0009-0000-0100-000006000000}"/>
  <tableColumns count="21">
    <tableColumn id="1" xr3:uid="{BC3D823C-D6B6-40BC-A536-00F316CEFAD9}" name="ردیف" dataDxfId="389" totalsRowDxfId="388">
      <calculatedColumnFormula>IF(ج_ح_شهریور19[[#This Row],[نام]]&lt;&gt;"",ROW()-192+1,"")</calculatedColumnFormula>
    </tableColumn>
    <tableColumn id="2" xr3:uid="{5A999EFF-56C0-469E-82CC-6C0BD102FB24}" name="نام" dataDxfId="387" totalsRowDxfId="386"/>
    <tableColumn id="21" xr3:uid="{829E88F2-2E69-4E45-9B8F-8709BD49AEE1}" name="نام خانوادگی" totalsRowLabel="جمع" dataDxfId="385" totalsRowDxfId="384"/>
    <tableColumn id="3" xr3:uid="{65344D02-817D-467D-8416-C549B545C0A1}" name="کارکرد" totalsRowFunction="sum" dataDxfId="383" totalsRowDxfId="382"/>
    <tableColumn id="4" xr3:uid="{38765FE4-BB40-400E-97E6-50192DE0E2B5}" name="دستمزد روزانه " totalsRowFunction="sum" dataDxfId="381" totalsRowDxfId="380" dataCellStyle="Comma"/>
    <tableColumn id="5" xr3:uid="{DFB2C82B-04DB-47F3-B233-6507818A0E2D}" name="حقوق پایه" totalsRowFunction="sum" dataDxfId="379" totalsRowDxfId="378" dataCellStyle="Comma">
      <calculatedColumnFormula>IF(ج_ح_شهریور19[[#This Row],[کارکرد]]*ج_ح_شهریور19[[#This Row],[دستمزد روزانه ]]=0,"",ج_ح_شهریور19[[#This Row],[کارکرد]]*ج_ح_شهریور19[[#This Row],[دستمزد روزانه ]])</calculatedColumnFormula>
    </tableColumn>
    <tableColumn id="6" xr3:uid="{7D83F90C-8BD0-4EFD-915D-B50A178856C6}" name="مدت اضافه کاری " totalsRowFunction="sum" dataDxfId="377" totalsRowDxfId="376" dataCellStyle="Comma"/>
    <tableColumn id="7" xr3:uid="{DC7275B5-6AC1-43A3-B82D-A254C3E66F71}" name="اضافه کاری" totalsRowFunction="sum" dataDxfId="375" totalsRowDxfId="374" dataCellStyle="Comma">
      <calculatedColumnFormula>(ج_ح_شهریور19[[#This Row],[دستمزد روزانه ]]/7.33)*1.4*ج_ح_شهریور19[[#This Row],[مدت اضافه کاری ]]</calculatedColumnFormula>
    </tableColumn>
    <tableColumn id="8" xr3:uid="{F2CA583A-D2FC-4085-9704-AF81E2C1C123}" name="حق مسکن" totalsRowFunction="sum" dataDxfId="373" totalsRowDxfId="372" dataCellStyle="Comma">
      <calculatedColumnFormula>IF(ج_ح_شهریور19[[#This Row],[کارکرد]]="","",ج_ح_شهریور19[[#This Row],[کارکرد]]*حق_مسکن/30)</calculatedColumnFormula>
    </tableColumn>
    <tableColumn id="9" xr3:uid="{018949B5-89AC-4A04-AD40-4320A1555DB4}" name="تعداد فرزندان" totalsRowFunction="sum" dataDxfId="371" totalsRowDxfId="370" dataCellStyle="Comma"/>
    <tableColumn id="10" xr3:uid="{FEBB2C77-68E3-47B5-9565-A9C3468F2046}" name="حق اولاد" totalsRowFunction="sum" dataDxfId="369" totalsRowDxfId="368" dataCellStyle="Comma">
      <calculatedColumnFormula>IF(ج_ح_شهریور19[[#This Row],[تعداد فرزندان]]="","",ج_ح_شهریور19[[#This Row],[کارکرد]]/31*3*ج_ح_شهریور19[[#This Row],[تعداد فرزندان]]*حداقل_حقوق_پایه_روزانه)</calculatedColumnFormula>
    </tableColumn>
    <tableColumn id="11" xr3:uid="{2FFE4147-A5A8-4AB8-8E11-68F57004D597}" name="حق و خواروبار" totalsRowFunction="sum" dataDxfId="367" totalsRowDxfId="366" dataCellStyle="Comma">
      <calculatedColumnFormula>IF(ج_ح_شهریور19[[#This Row],[کارکرد]]="","",ج_ح_شهریور19[[#This Row],[کارکرد]]*حق_خواربار/30)</calculatedColumnFormula>
    </tableColumn>
    <tableColumn id="12" xr3:uid="{45E4C83A-47CC-47EA-B397-47FE23B9852A}" name="جمع ح و م" totalsRowFunction="sum" dataDxfId="365" totalsRowDxfId="364" dataCellStyle="Comma">
      <calculatedColumnFormula>IFERROR(ج_ح_شهریور19[[#This Row],[حقوق پایه]]+ج_ح_شهریور19[[#This Row],[اضافه کاری]]+ج_ح_شهریور19[[#This Row],[حق مسکن]]+ج_ح_شهریور19[[#This Row],[حق اولاد]]+ج_ح_شهریور19[[#This Row],[حق و خواروبار]],"")</calculatedColumnFormula>
    </tableColumn>
    <tableColumn id="13" xr3:uid="{400B7AC4-08E5-4AB0-9E11-D9F365229BEF}" name="جمع ح و م م بیمه " totalsRowFunction="sum" dataDxfId="363" totalsRowDxfId="362" dataCellStyle="Comma">
      <calculatedColumnFormula>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calculatedColumnFormula>
    </tableColumn>
    <tableColumn id="14" xr3:uid="{6AEA4438-E5FE-4EFB-BE1A-D1ACB7F5A563}" name="جمع ح و م م مالیات" totalsRowFunction="sum" dataDxfId="361" totalsRowDxfId="360" dataCellStyle="Comma">
      <calculatedColumnFormula>IFERROR(ج_ح_شهریور19[[#This Row],[حقوق پایه]]+ج_ح_شهریور19[[#This Row],[اضافه کاری]]-(2/7)*ج_ح_شهریور19[[#This Row],[بیمه پرداختنی]],"")</calculatedColumnFormula>
    </tableColumn>
    <tableColumn id="15" xr3:uid="{EA5813C0-E61B-4447-B955-FAAFD12CA245}" name="وام" totalsRowFunction="sum" dataDxfId="359" totalsRowDxfId="358" dataCellStyle="Comma"/>
    <tableColumn id="16" xr3:uid="{12DB1FF0-E724-44FC-B64C-58B4955B3651}" name="مساعده" totalsRowFunction="sum" dataDxfId="357" totalsRowDxfId="356" dataCellStyle="Comma"/>
    <tableColumn id="17" xr3:uid="{D839F556-3399-488C-9ECF-2280878D964F}" name="بیمه پرداختنی" totalsRowFunction="sum" dataDxfId="355" totalsRowDxfId="354" dataCellStyle="Comma">
      <calculatedColumnFormula>IFERROR(ج_ح_شهریور19[[#This Row],[جمع ح و م م بیمه ]]*7%,"")</calculatedColumnFormula>
    </tableColumn>
    <tableColumn id="18" xr3:uid="{CE2BBA28-5B18-48FE-8168-FFD7FC9DF855}" name="مالیات پرداختنی" totalsRowFunction="sum" dataDxfId="353" totalsRowDxfId="352">
      <calculatedColumnFormula>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calculatedColumnFormula>
    </tableColumn>
    <tableColumn id="19" xr3:uid="{11169BE6-46A3-47B7-8A23-FD3F0994B775}" name="جمع کسورات" totalsRowFunction="sum" dataDxfId="351" totalsRowDxfId="350" dataCellStyle="Comma">
      <calculatedColumnFormula>IFERROR(ج_ح_شهریور19[[#This Row],[وام]]+ج_ح_شهریور19[[#This Row],[مساعده]]+ج_ح_شهریور19[[#This Row],[بیمه پرداختنی]]+ج_ح_شهریور19[[#This Row],[مالیات پرداختنی]],"")</calculatedColumnFormula>
    </tableColumn>
    <tableColumn id="20" xr3:uid="{A88D4788-F8EF-42EC-959C-0221AE115022}" name="خالص قابل پرداخت" totalsRowFunction="sum" dataDxfId="349" totalsRowDxfId="348" dataCellStyle="Comma">
      <calculatedColumnFormula>IFERROR(ج_ح_شهریور19[[#This Row],[جمع ح و م]]-ج_ح_شهریور19[[#This Row],[جمع کسورات]],"")</calculatedColumnFormula>
    </tableColumn>
  </tableColumns>
  <tableStyleInfo name="TableStyleLight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3DB19478-139C-4ECE-9FD2-F68D5D0C25AC}" name="ج_ح_مهر20" displayName="ج_ح_مهر20" ref="C228:W259" totalsRowCount="1" headerRowDxfId="347" dataDxfId="346" totalsRowDxfId="344" tableBorderDxfId="345" dataCellStyle="Comma">
  <autoFilter ref="C228:W258" xr:uid="{00000000-0009-0000-0100-000007000000}"/>
  <tableColumns count="21">
    <tableColumn id="1" xr3:uid="{238B78C1-FE85-4936-9625-A0A9A597103B}" name="ردیف" dataDxfId="343" totalsRowDxfId="342">
      <calculatedColumnFormula>IF(ج_ح_مهر20[[#This Row],[نام]]&lt;&gt;"",ROW()-229+1,"")</calculatedColumnFormula>
    </tableColumn>
    <tableColumn id="2" xr3:uid="{CE12A340-43A0-4C7C-98DB-683787A23969}" name="نام" dataDxfId="341" totalsRowDxfId="340"/>
    <tableColumn id="21" xr3:uid="{2F68E91B-83A2-4D20-935C-EF444F7171C5}" name="نام خانوادگی" totalsRowLabel="جمع" dataDxfId="339" totalsRowDxfId="338"/>
    <tableColumn id="3" xr3:uid="{4CF89CEF-C94F-4A50-AB1D-75C97175BFD4}" name="کارکرد" totalsRowFunction="sum" dataDxfId="337" totalsRowDxfId="336"/>
    <tableColumn id="4" xr3:uid="{2B515B0D-98EC-4DD8-9045-5E22ABF9002E}" name="دستمزد روزانه " totalsRowFunction="sum" dataDxfId="335" totalsRowDxfId="334" dataCellStyle="Comma"/>
    <tableColumn id="5" xr3:uid="{8022351E-FF26-480C-9EF4-0FB3BEDD4D8C}" name="حقوق پایه" totalsRowFunction="sum" dataDxfId="333" totalsRowDxfId="332" dataCellStyle="Comma">
      <calculatedColumnFormula>IF(ج_ح_مهر20[[#This Row],[کارکرد]]*ج_ح_مهر20[[#This Row],[دستمزد روزانه ]]=0,"",ج_ح_مهر20[[#This Row],[کارکرد]]*ج_ح_مهر20[[#This Row],[دستمزد روزانه ]])</calculatedColumnFormula>
    </tableColumn>
    <tableColumn id="6" xr3:uid="{CB7365EF-5B85-469C-89B2-96F44ABB5D5E}" name="مدت اضافه کاری " totalsRowFunction="sum" dataDxfId="331" totalsRowDxfId="330" dataCellStyle="Comma"/>
    <tableColumn id="7" xr3:uid="{5C2FF847-4393-4B8D-A3A5-F752B21F90D8}" name="اضافه کاری" totalsRowFunction="sum" dataDxfId="329" totalsRowDxfId="328" dataCellStyle="Comma">
      <calculatedColumnFormula>(ج_ح_مهر20[[#This Row],[دستمزد روزانه ]]/7.33)*1.4*ج_ح_مهر20[[#This Row],[مدت اضافه کاری ]]</calculatedColumnFormula>
    </tableColumn>
    <tableColumn id="8" xr3:uid="{21AABEE4-2E80-4F62-97D6-94A9F2E03B8E}" name="حق مسکن" totalsRowFunction="sum" dataDxfId="327" totalsRowDxfId="326" dataCellStyle="Comma">
      <calculatedColumnFormula>IF(ج_ح_مهر20[[#This Row],[کارکرد]]="","",ج_ح_مهر20[[#This Row],[کارکرد]]*حق_مسکن/30)</calculatedColumnFormula>
    </tableColumn>
    <tableColumn id="9" xr3:uid="{252F4208-1251-4E04-A019-A945D90D2E58}" name="تعداد فرزندان" totalsRowFunction="sum" dataDxfId="325" totalsRowDxfId="324" dataCellStyle="Comma"/>
    <tableColumn id="10" xr3:uid="{5A3AB478-8C44-40E2-9A79-19DB03D8DDAD}" name="حق اولاد" totalsRowFunction="sum" dataDxfId="323" totalsRowDxfId="322" dataCellStyle="Comma">
      <calculatedColumnFormula>IF(ج_ح_مهر20[[#This Row],[تعداد فرزندان]]="","",ج_ح_مهر20[[#This Row],[کارکرد]]/30*3*ج_ح_مهر20[[#This Row],[تعداد فرزندان]]*حداقل_حقوق_پایه_روزانه)</calculatedColumnFormula>
    </tableColumn>
    <tableColumn id="11" xr3:uid="{9D4E0FAE-4486-4BBF-824B-A93CA37BDC1B}" name="حق و خواروبار" totalsRowFunction="sum" dataDxfId="321" totalsRowDxfId="320" dataCellStyle="Comma">
      <calculatedColumnFormula>IF(ج_ح_مهر20[[#This Row],[کارکرد]]="","",ج_ح_مهر20[[#This Row],[کارکرد]]*حق_خواربار/30)</calculatedColumnFormula>
    </tableColumn>
    <tableColumn id="12" xr3:uid="{97E0C2FD-EF11-44FD-B43A-CEF6170C49C8}" name="جمع ح و م" totalsRowFunction="sum" dataDxfId="319" totalsRowDxfId="318" dataCellStyle="Comma">
      <calculatedColumnFormula>IFERROR(ج_ح_مهر20[[#This Row],[حقوق پایه]]+ج_ح_مهر20[[#This Row],[اضافه کاری]]+ج_ح_مهر20[[#This Row],[حق مسکن]]+ج_ح_مهر20[[#This Row],[حق اولاد]]+ج_ح_مهر20[[#This Row],[حق و خواروبار]],"")</calculatedColumnFormula>
    </tableColumn>
    <tableColumn id="13" xr3:uid="{DEAC459C-569C-4E1F-A835-6DEEBB7BEEAB}" name="جمع ح و م م بیمه " totalsRowFunction="sum" dataDxfId="317" totalsRowDxfId="316" dataCellStyle="Comma">
      <calculatedColumnFormula>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calculatedColumnFormula>
    </tableColumn>
    <tableColumn id="14" xr3:uid="{474B55A7-13F2-4CDD-AA02-1985737F4837}" name="جمع ح و م م مالیات" totalsRowFunction="sum" dataDxfId="315" totalsRowDxfId="314" dataCellStyle="Comma">
      <calculatedColumnFormula>IFERROR(ج_ح_مهر20[[#This Row],[حقوق پایه]]+ج_ح_مهر20[[#This Row],[اضافه کاری]]-(2/7)*ج_ح_مهر20[[#This Row],[بیمه پرداختنی]],"")</calculatedColumnFormula>
    </tableColumn>
    <tableColumn id="15" xr3:uid="{5DEAB55B-831E-4902-BC93-F4C975AD9A7D}" name="وام" totalsRowFunction="sum" dataDxfId="313" totalsRowDxfId="312" dataCellStyle="Comma"/>
    <tableColumn id="16" xr3:uid="{BB9B24BD-2DC0-4C17-9810-1361CC7475BE}" name="مساعده" totalsRowFunction="sum" dataDxfId="311" totalsRowDxfId="310" dataCellStyle="Comma"/>
    <tableColumn id="17" xr3:uid="{473EB481-5E0D-48D4-8A48-0558DD055E84}" name="بیمه پرداختنی" totalsRowFunction="sum" dataDxfId="309" totalsRowDxfId="308" dataCellStyle="Comma">
      <calculatedColumnFormula>IFERROR(ج_ح_مهر20[[#This Row],[جمع ح و م م بیمه ]]*7%,"")</calculatedColumnFormula>
    </tableColumn>
    <tableColumn id="18" xr3:uid="{80DC35A3-5163-45E7-808B-72BDA0DA3E06}" name="مالیات پرداختنی" totalsRowFunction="sum" dataDxfId="307" totalsRowDxfId="306">
      <calculatedColumnFormula>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calculatedColumnFormula>
    </tableColumn>
    <tableColumn id="19" xr3:uid="{135BAEF2-5E49-433F-83F5-14504BA07AD0}" name="جمع کسورات" totalsRowFunction="sum" dataDxfId="305" totalsRowDxfId="304" dataCellStyle="Comma">
      <calculatedColumnFormula>IFERROR(ج_ح_مهر20[[#This Row],[وام]]+ج_ح_مهر20[[#This Row],[مساعده]]+ج_ح_مهر20[[#This Row],[بیمه پرداختنی]]+ج_ح_مهر20[[#This Row],[مالیات پرداختنی]],"")</calculatedColumnFormula>
    </tableColumn>
    <tableColumn id="20" xr3:uid="{99593304-6817-484C-B86B-0BDBAF1D6B5D}" name="خالص قابل پرداخت" totalsRowFunction="sum" dataDxfId="303" totalsRowDxfId="302" dataCellStyle="Comma">
      <calculatedColumnFormula>IFERROR(ج_ح_مهر20[[#This Row],[جمع ح و م]]-ج_ح_مهر20[[#This Row],[جمع کسورات]],"")</calculatedColumnFormula>
    </tableColumn>
  </tableColumns>
  <tableStyleInfo name="TableStyleLight1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A03A8A0-FAD5-41DA-8E64-7A55E37FAB12}" name="ج_ح_آبان21" displayName="ج_ح_آبان21" ref="C265:W296" totalsRowCount="1" headerRowDxfId="301" dataDxfId="300" totalsRowDxfId="298" tableBorderDxfId="299" dataCellStyle="Comma">
  <autoFilter ref="C265:W295" xr:uid="{00000000-0009-0000-0100-000008000000}"/>
  <tableColumns count="21">
    <tableColumn id="1" xr3:uid="{12316B96-86C4-4BCC-B75F-F12826B7E955}" name="ردیف" dataDxfId="297" totalsRowDxfId="296">
      <calculatedColumnFormula>IF(ج_ح_آبان21[[#This Row],[نام]]&lt;&gt;"",ROW()-266+1,"")</calculatedColumnFormula>
    </tableColumn>
    <tableColumn id="2" xr3:uid="{200F3226-B70D-48DF-BF7E-48BA82ABBC6B}" name="نام" dataDxfId="295" totalsRowDxfId="294"/>
    <tableColumn id="21" xr3:uid="{2EF2B67B-0A11-4783-888B-8D915E8D5005}" name="نام خانوادگی" totalsRowLabel="جمع" dataDxfId="293" totalsRowDxfId="292"/>
    <tableColumn id="3" xr3:uid="{FC24675C-C61C-403C-A789-87B548970A5A}" name="کارکرد" totalsRowFunction="sum" dataDxfId="291" totalsRowDxfId="290"/>
    <tableColumn id="4" xr3:uid="{A48A5B3C-5AC5-4A92-A097-FED9373D1C04}" name="دستمزد روزانه " totalsRowFunction="sum" dataDxfId="289" totalsRowDxfId="288" dataCellStyle="Comma"/>
    <tableColumn id="5" xr3:uid="{976E04D5-744C-45F3-88B1-CBF46BBFC563}" name="حقوق پایه" totalsRowFunction="sum" dataDxfId="287" totalsRowDxfId="286" dataCellStyle="Comma">
      <calculatedColumnFormula>IF(ج_ح_آبان21[[#This Row],[کارکرد]]*ج_ح_آبان21[[#This Row],[دستمزد روزانه ]]=0,"",ج_ح_آبان21[[#This Row],[کارکرد]]*ج_ح_آبان21[[#This Row],[دستمزد روزانه ]])</calculatedColumnFormula>
    </tableColumn>
    <tableColumn id="6" xr3:uid="{3C9CDEAC-463E-4AEE-894C-46A9EC300145}" name="مدت اضافه کاری " totalsRowFunction="sum" dataDxfId="285" totalsRowDxfId="284" dataCellStyle="Comma"/>
    <tableColumn id="7" xr3:uid="{D2E51AE2-CAFF-4FC1-ACD9-5FCF21252103}" name="اضافه کاری" totalsRowFunction="sum" dataDxfId="283" totalsRowDxfId="282" dataCellStyle="Comma">
      <calculatedColumnFormula>(ج_ح_آبان21[[#This Row],[دستمزد روزانه ]]/7.33)*1.4*ج_ح_آبان21[[#This Row],[مدت اضافه کاری ]]</calculatedColumnFormula>
    </tableColumn>
    <tableColumn id="8" xr3:uid="{CF90DE65-08AD-41B8-87BE-60C54D9214DB}" name="حق مسکن" totalsRowFunction="sum" dataDxfId="281" totalsRowDxfId="280" dataCellStyle="Comma">
      <calculatedColumnFormula>IF(ج_ح_آبان21[[#This Row],[کارکرد]]="","",ج_ح_آبان21[[#This Row],[کارکرد]]*حق_مسکن/30)</calculatedColumnFormula>
    </tableColumn>
    <tableColumn id="9" xr3:uid="{BC03190F-7D2D-4398-B0DC-DA1D1E98694F}" name="تعداد فرزندان" totalsRowFunction="sum" dataDxfId="279" totalsRowDxfId="278" dataCellStyle="Comma"/>
    <tableColumn id="10" xr3:uid="{0F74BC46-C63D-4205-A329-BAEB32C14DEE}" name="حق اولاد" totalsRowFunction="sum" dataDxfId="277" totalsRowDxfId="276" dataCellStyle="Comma">
      <calculatedColumnFormula>IF(ج_ح_آبان21[[#This Row],[تعداد فرزندان]]="","",ج_ح_آبان21[[#This Row],[کارکرد]]/30*3*ج_ح_آبان21[[#This Row],[تعداد فرزندان]]*حداقل_حقوق_پایه_روزانه)</calculatedColumnFormula>
    </tableColumn>
    <tableColumn id="11" xr3:uid="{FA4313D4-5393-4624-9A70-E5FD334E24A4}" name="حق و خواروبار" totalsRowFunction="sum" dataDxfId="275" totalsRowDxfId="274" dataCellStyle="Comma">
      <calculatedColumnFormula>IF(ج_ح_آبان21[[#This Row],[کارکرد]]="","",ج_ح_آبان21[[#This Row],[کارکرد]]*حق_خواربار/30)</calculatedColumnFormula>
    </tableColumn>
    <tableColumn id="12" xr3:uid="{12D9E763-89F4-4072-8ACF-CE9CBF632C44}" name="جمع ح و م" totalsRowFunction="sum" dataDxfId="273" totalsRowDxfId="272" dataCellStyle="Comma">
      <calculatedColumnFormula>IFERROR(ج_ح_آبان21[[#This Row],[حقوق پایه]]+ج_ح_آبان21[[#This Row],[اضافه کاری]]+ج_ح_آبان21[[#This Row],[حق مسکن]]+ج_ح_آبان21[[#This Row],[حق اولاد]]+ج_ح_آبان21[[#This Row],[حق و خواروبار]],"")</calculatedColumnFormula>
    </tableColumn>
    <tableColumn id="13" xr3:uid="{1D9C3CBF-91E9-4E59-B6CE-04E7B0267D8B}" name="جمع ح و م م بیمه " totalsRowFunction="sum" dataDxfId="271" totalsRowDxfId="270" dataCellStyle="Comma">
      <calculatedColumnFormula>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calculatedColumnFormula>
    </tableColumn>
    <tableColumn id="14" xr3:uid="{F733F946-07E8-48D5-B39C-3AE08BD885B3}" name="جمع ح و م م مالیات" totalsRowFunction="sum" dataDxfId="269" totalsRowDxfId="268" dataCellStyle="Comma">
      <calculatedColumnFormula>IFERROR(ج_ح_آبان21[[#This Row],[حقوق پایه]]+ج_ح_آبان21[[#This Row],[اضافه کاری]]-(2/7)*ج_ح_آبان21[[#This Row],[بیمه پرداختنی]],"")</calculatedColumnFormula>
    </tableColumn>
    <tableColumn id="15" xr3:uid="{01BAE920-2E17-4BF5-8892-EBB8D9B0A4A0}" name="وام" totalsRowFunction="sum" dataDxfId="267" totalsRowDxfId="266" dataCellStyle="Comma"/>
    <tableColumn id="16" xr3:uid="{DF8A9063-8D1E-43C8-899A-8CC6B73FC518}" name="مساعده" totalsRowFunction="sum" dataDxfId="265" totalsRowDxfId="264" dataCellStyle="Comma"/>
    <tableColumn id="17" xr3:uid="{9535C52E-BC10-4BE1-8F34-30202DB17737}" name="بیمه پرداختنی" totalsRowFunction="sum" dataDxfId="263" totalsRowDxfId="262" dataCellStyle="Comma">
      <calculatedColumnFormula>IFERROR(ج_ح_آبان21[[#This Row],[جمع ح و م م بیمه ]]*7%,"")</calculatedColumnFormula>
    </tableColumn>
    <tableColumn id="18" xr3:uid="{DE272CA9-16C5-4825-90C5-7E687B320701}" name="مالیات پرداختنی" totalsRowFunction="sum" dataDxfId="261" totalsRowDxfId="260">
      <calculatedColumnFormula>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calculatedColumnFormula>
    </tableColumn>
    <tableColumn id="19" xr3:uid="{7B03EFC6-8CDC-475B-99BA-E847A4A739A7}" name="جمع کسورات" totalsRowFunction="sum" dataDxfId="259" totalsRowDxfId="258" dataCellStyle="Comma">
      <calculatedColumnFormula>IFERROR(ج_ح_آبان21[[#This Row],[وام]]+ج_ح_آبان21[[#This Row],[مساعده]]+ج_ح_آبان21[[#This Row],[بیمه پرداختنی]]+ج_ح_آبان21[[#This Row],[مالیات پرداختنی]],"")</calculatedColumnFormula>
    </tableColumn>
    <tableColumn id="20" xr3:uid="{B9A459ED-38EB-4F45-AA0C-380631390F2F}" name="خالص قابل پرداخت" totalsRowFunction="sum" dataDxfId="257" totalsRowDxfId="256" dataCellStyle="Comma">
      <calculatedColumnFormula>IFERROR(ج_ح_آبان21[[#This Row],[جمع ح و م]]-ج_ح_آبان21[[#This Row],[جمع کسورات]],"")</calculatedColumnFormula>
    </tableColumn>
  </tableColumns>
  <tableStyleInfo name="TableStyleLight1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C88E4CC-0B6F-4B48-A4F8-DBB2082D5EEE}" name="ج_ح_آذر22" displayName="ج_ح_آذر22" ref="C302:W333" totalsRowCount="1" headerRowDxfId="255" dataDxfId="254" totalsRowDxfId="252" tableBorderDxfId="253" dataCellStyle="Comma">
  <autoFilter ref="C302:W332" xr:uid="{00000000-0009-0000-0100-000009000000}"/>
  <tableColumns count="21">
    <tableColumn id="1" xr3:uid="{D05CC804-CDFB-4709-82D3-EACE7363F86D}" name="ردیف" dataDxfId="251" totalsRowDxfId="250">
      <calculatedColumnFormula>IF(ج_ح_آذر22[[#This Row],[نام]]&lt;&gt;"",ROW()-303+1,"")</calculatedColumnFormula>
    </tableColumn>
    <tableColumn id="2" xr3:uid="{2D754570-4F7D-42CE-816D-7D5E36316CFE}" name="نام" dataDxfId="249" totalsRowDxfId="248"/>
    <tableColumn id="21" xr3:uid="{4C09853D-C239-4BA9-B423-E086625EEFBC}" name="نام خانوادگی" totalsRowLabel="جمع" dataDxfId="247" totalsRowDxfId="246"/>
    <tableColumn id="3" xr3:uid="{FCB6D082-B8F6-4CCA-AD25-F54119FD45AD}" name="کارکرد" totalsRowFunction="sum" dataDxfId="245" totalsRowDxfId="244"/>
    <tableColumn id="4" xr3:uid="{0462C834-6B13-485F-A23A-71A067092239}" name="دستمزد روزانه " totalsRowFunction="sum" dataDxfId="243" totalsRowDxfId="242" dataCellStyle="Comma"/>
    <tableColumn id="5" xr3:uid="{888EA9C4-82EB-4C26-8609-8C79582A4AA1}" name="حقوق پایه" totalsRowFunction="sum" dataDxfId="241" totalsRowDxfId="240" dataCellStyle="Comma">
      <calculatedColumnFormula>IF(ج_ح_آذر22[[#This Row],[کارکرد]]*ج_ح_آذر22[[#This Row],[دستمزد روزانه ]]=0,"",ج_ح_آذر22[[#This Row],[کارکرد]]*ج_ح_آذر22[[#This Row],[دستمزد روزانه ]])</calculatedColumnFormula>
    </tableColumn>
    <tableColumn id="6" xr3:uid="{731AEB2A-81B7-4AEC-B61B-9D5F92E4F05F}" name="مدت اضافه کاری " totalsRowFunction="sum" dataDxfId="239" totalsRowDxfId="238" dataCellStyle="Comma"/>
    <tableColumn id="7" xr3:uid="{8BD654BE-B86F-419D-BF1D-5152A96553ED}" name="اضافه کاری" totalsRowFunction="sum" dataDxfId="237" totalsRowDxfId="236" dataCellStyle="Comma">
      <calculatedColumnFormula>(ج_ح_آذر22[[#This Row],[دستمزد روزانه ]]/7.33)*1.4*ج_ح_آذر22[[#This Row],[مدت اضافه کاری ]]</calculatedColumnFormula>
    </tableColumn>
    <tableColumn id="8" xr3:uid="{D4484612-657E-469B-A17C-359C3F2A50C6}" name="حق مسکن" totalsRowFunction="sum" dataDxfId="235" totalsRowDxfId="234" dataCellStyle="Comma">
      <calculatedColumnFormula>IF(ج_ح_آذر22[[#This Row],[کارکرد]]="","",ج_ح_آذر22[[#This Row],[کارکرد]]*حق_مسکن/30)</calculatedColumnFormula>
    </tableColumn>
    <tableColumn id="9" xr3:uid="{B304F816-69C1-4754-BE1F-EA0E1EF135AC}" name="تعداد فرزندان" totalsRowFunction="sum" dataDxfId="233" totalsRowDxfId="232" dataCellStyle="Comma"/>
    <tableColumn id="10" xr3:uid="{AC785C2D-1163-4030-BB05-BEF08A3C9C49}" name="حق اولاد" totalsRowFunction="sum" dataDxfId="231" totalsRowDxfId="230" dataCellStyle="Comma">
      <calculatedColumnFormula>IF(ج_ح_آذر22[[#This Row],[تعداد فرزندان]]="","",ج_ح_آذر22[[#This Row],[کارکرد]]/30*3*ج_ح_آذر22[[#This Row],[تعداد فرزندان]]*حداقل_حقوق_پایه_روزانه)</calculatedColumnFormula>
    </tableColumn>
    <tableColumn id="11" xr3:uid="{69390097-A26B-4D5B-9428-361495059C81}" name="حق و خواروبار" totalsRowFunction="sum" dataDxfId="229" totalsRowDxfId="228" dataCellStyle="Comma">
      <calculatedColumnFormula>IF(ج_ح_آذر22[[#This Row],[کارکرد]]="","",ج_ح_آذر22[[#This Row],[کارکرد]]*حق_خواربار/30)</calculatedColumnFormula>
    </tableColumn>
    <tableColumn id="12" xr3:uid="{761555F1-73C8-4BE5-B890-232F5F404330}" name="جمع ح و م" totalsRowFunction="sum" dataDxfId="227" totalsRowDxfId="226" dataCellStyle="Comma">
      <calculatedColumnFormula>IFERROR(ج_ح_آذر22[[#This Row],[حقوق پایه]]+ج_ح_آذر22[[#This Row],[اضافه کاری]]+ج_ح_آذر22[[#This Row],[حق مسکن]]+ج_ح_آذر22[[#This Row],[حق اولاد]]+ج_ح_آذر22[[#This Row],[حق و خواروبار]],"")</calculatedColumnFormula>
    </tableColumn>
    <tableColumn id="13" xr3:uid="{FAD9FCAD-8A70-4740-882C-9DB06C0D155D}" name="جمع ح و م م بیمه " totalsRowFunction="sum" dataDxfId="225" totalsRowDxfId="224" dataCellStyle="Comma">
      <calculatedColumnFormula>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calculatedColumnFormula>
    </tableColumn>
    <tableColumn id="14" xr3:uid="{F5727409-8E10-4AA1-9123-CCA3DC3D453A}" name="جمع ح و م م مالیات" totalsRowFunction="sum" dataDxfId="223" totalsRowDxfId="222" dataCellStyle="Comma">
      <calculatedColumnFormula>IFERROR(ج_ح_آذر22[[#This Row],[حقوق پایه]]+ج_ح_آذر22[[#This Row],[اضافه کاری]]-(2/7)*ج_ح_آذر22[[#This Row],[بیمه پرداختنی]],"")</calculatedColumnFormula>
    </tableColumn>
    <tableColumn id="15" xr3:uid="{2C665869-F471-46FA-919A-CBF04C3C05FD}" name="وام" totalsRowFunction="sum" dataDxfId="221" totalsRowDxfId="220" dataCellStyle="Comma"/>
    <tableColumn id="16" xr3:uid="{C526BCB2-D8EA-4A24-A144-520ED9EC377C}" name="مساعده" totalsRowFunction="sum" dataDxfId="219" totalsRowDxfId="218" dataCellStyle="Comma"/>
    <tableColumn id="17" xr3:uid="{5FBC4101-9866-426B-A424-33D7A547A27F}" name="بیمه پرداختنی" totalsRowFunction="sum" dataDxfId="217" totalsRowDxfId="216" dataCellStyle="Comma">
      <calculatedColumnFormula>IFERROR(ج_ح_آذر22[[#This Row],[جمع ح و م م بیمه ]]*7%,"")</calculatedColumnFormula>
    </tableColumn>
    <tableColumn id="18" xr3:uid="{8D3F02C1-F7E8-4C24-97A5-E12AB42F530C}" name="مالیات پرداختنی" totalsRowFunction="sum" dataDxfId="215" totalsRowDxfId="214">
      <calculatedColumnFormula>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calculatedColumnFormula>
    </tableColumn>
    <tableColumn id="19" xr3:uid="{7AF3A267-56CF-4E74-AC64-EA95AADF69A9}" name="جمع کسورات" totalsRowFunction="sum" dataDxfId="213" totalsRowDxfId="212" dataCellStyle="Comma">
      <calculatedColumnFormula>IFERROR(ج_ح_آذر22[[#This Row],[وام]]+ج_ح_آذر22[[#This Row],[مساعده]]+ج_ح_آذر22[[#This Row],[بیمه پرداختنی]]+ج_ح_آذر22[[#This Row],[مالیات پرداختنی]],"")</calculatedColumnFormula>
    </tableColumn>
    <tableColumn id="20" xr3:uid="{9ADACF27-F3D5-42B9-B7A3-2ABE229D70F2}" name="خالص قابل پرداخت" totalsRowFunction="sum" dataDxfId="211" totalsRowDxfId="210" dataCellStyle="Comma">
      <calculatedColumnFormula>IFERROR(ج_ح_آذر22[[#This Row],[جمع ح و م]]-ج_ح_آذر22[[#This Row],[جمع کسورات]],"")</calculatedColumnFormula>
    </tableColumn>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me/sirafhesab/" TargetMode="External"/><Relationship Id="rId2" Type="http://schemas.openxmlformats.org/officeDocument/2006/relationships/hyperlink" Target="https://sirafhesab.ir/" TargetMode="External"/><Relationship Id="rId1" Type="http://schemas.openxmlformats.org/officeDocument/2006/relationships/hyperlink" Target="https://instagram.com/sirafhesab/" TargetMode="External"/><Relationship Id="rId5" Type="http://schemas.openxmlformats.org/officeDocument/2006/relationships/drawing" Target="../drawings/drawing1.xml"/><Relationship Id="rId4" Type="http://schemas.openxmlformats.org/officeDocument/2006/relationships/hyperlink" Target="https://sirafhesab.ir/blog/%D9%85%D9%82%D8%A7%D9%84%D8%A7%D8%AA/P1095-%D8%B4%D8%B1%D8%AD-%DA%A9%D8%A7%D9%85%D9%84%DB%8C-%D8%A7%D8%B2-%D9%85%D8%A7%D8%AF%D9%87-131-%D9%82%D8%A7%D9%86%D9%88%D9%86-%D9%85%D8%A7%D9%84%DB%8C%D8%A7%D8%AA-%D9%87%D8%A7%DB%8C-%D9%85%D8%B3%D8%AA%D9%82%DB%8C%D9%85.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04F66-FB3A-4E56-8EF3-7B8A50481330}">
  <sheetPr>
    <tabColor rgb="FFFF0000"/>
  </sheetPr>
  <dimension ref="A11:J23"/>
  <sheetViews>
    <sheetView rightToLeft="1" tabSelected="1" workbookViewId="0">
      <selection activeCell="H34" sqref="H34"/>
    </sheetView>
  </sheetViews>
  <sheetFormatPr defaultRowHeight="15"/>
  <cols>
    <col min="9" max="9" width="32.125" customWidth="1"/>
  </cols>
  <sheetData>
    <row r="11" spans="1:10" ht="27" customHeight="1"/>
    <row r="12" spans="1:10">
      <c r="A12" s="122" t="s">
        <v>27</v>
      </c>
      <c r="B12" s="122"/>
      <c r="C12" s="122"/>
      <c r="D12" s="122"/>
      <c r="E12" s="122"/>
      <c r="F12" s="122"/>
      <c r="G12" s="122"/>
      <c r="H12" s="122"/>
      <c r="I12" s="122"/>
    </row>
    <row r="13" spans="1:10" ht="18.75" customHeight="1">
      <c r="A13" s="122"/>
      <c r="B13" s="122"/>
      <c r="C13" s="122"/>
      <c r="D13" s="122"/>
      <c r="E13" s="122"/>
      <c r="F13" s="122"/>
      <c r="G13" s="122"/>
      <c r="H13" s="122"/>
      <c r="I13" s="122"/>
      <c r="J13" s="123"/>
    </row>
    <row r="14" spans="1:10" ht="5.25" customHeight="1">
      <c r="A14" s="92"/>
      <c r="B14" s="92"/>
      <c r="C14" s="92"/>
      <c r="D14" s="92"/>
      <c r="E14" s="92"/>
      <c r="F14" s="92"/>
      <c r="G14" s="92"/>
      <c r="H14" s="92"/>
      <c r="I14" s="92"/>
    </row>
    <row r="15" spans="1:10">
      <c r="A15" s="124" t="s">
        <v>28</v>
      </c>
      <c r="B15" s="124"/>
      <c r="C15" s="124"/>
      <c r="D15" s="124"/>
      <c r="E15" s="124"/>
      <c r="F15" s="124"/>
      <c r="G15" s="124"/>
      <c r="H15" s="124"/>
      <c r="I15" s="124"/>
    </row>
    <row r="16" spans="1:10" ht="15.75" customHeight="1">
      <c r="A16" s="124"/>
      <c r="B16" s="124"/>
      <c r="C16" s="124"/>
      <c r="D16" s="124"/>
      <c r="E16" s="124"/>
      <c r="F16" s="124"/>
      <c r="G16" s="124"/>
      <c r="H16" s="124"/>
      <c r="I16" s="124"/>
    </row>
    <row r="17" spans="1:9" ht="7.5" customHeight="1">
      <c r="A17" s="92"/>
      <c r="B17" s="92"/>
      <c r="C17" s="92"/>
      <c r="D17" s="92"/>
      <c r="E17" s="92"/>
      <c r="F17" s="92"/>
      <c r="G17" s="92"/>
      <c r="H17" s="92"/>
      <c r="I17" s="92"/>
    </row>
    <row r="18" spans="1:9">
      <c r="A18" s="124" t="s">
        <v>181</v>
      </c>
      <c r="B18" s="124"/>
      <c r="C18" s="124"/>
      <c r="D18" s="124"/>
      <c r="E18" s="124"/>
      <c r="F18" s="124"/>
      <c r="G18" s="124"/>
      <c r="H18" s="124"/>
      <c r="I18" s="124"/>
    </row>
    <row r="19" spans="1:9">
      <c r="A19" s="124"/>
      <c r="B19" s="124"/>
      <c r="C19" s="124"/>
      <c r="D19" s="124"/>
      <c r="E19" s="124"/>
      <c r="F19" s="124"/>
      <c r="G19" s="124"/>
      <c r="H19" s="124"/>
      <c r="I19" s="124"/>
    </row>
    <row r="20" spans="1:9" ht="3.75" customHeight="1">
      <c r="A20" s="124"/>
      <c r="B20" s="124"/>
      <c r="C20" s="124"/>
      <c r="D20" s="124"/>
      <c r="E20" s="124"/>
      <c r="F20" s="124"/>
      <c r="G20" s="124"/>
      <c r="H20" s="124"/>
      <c r="I20" s="124"/>
    </row>
    <row r="21" spans="1:9" ht="4.5" customHeight="1">
      <c r="A21" s="92"/>
      <c r="B21" s="92"/>
      <c r="C21" s="92"/>
      <c r="D21" s="92"/>
      <c r="E21" s="92"/>
      <c r="F21" s="92"/>
      <c r="G21" s="92"/>
      <c r="H21" s="92"/>
      <c r="I21" s="92"/>
    </row>
    <row r="22" spans="1:9" ht="18" customHeight="1">
      <c r="A22" s="124" t="s">
        <v>182</v>
      </c>
      <c r="B22" s="125"/>
      <c r="C22" s="125"/>
      <c r="D22" s="125"/>
      <c r="E22" s="125"/>
      <c r="F22" s="125"/>
      <c r="G22" s="125"/>
      <c r="H22" s="125"/>
      <c r="I22" s="125"/>
    </row>
    <row r="23" spans="1:9" ht="16.5" customHeight="1">
      <c r="A23" s="125"/>
      <c r="B23" s="125"/>
      <c r="C23" s="125"/>
      <c r="D23" s="125"/>
      <c r="E23" s="125"/>
      <c r="F23" s="125"/>
      <c r="G23" s="125"/>
      <c r="H23" s="125"/>
      <c r="I23" s="125"/>
    </row>
  </sheetData>
  <sheetProtection algorithmName="SHA-512" hashValue="ATPoKjHK6sdP2teo1n0M9jA3WmaOqVEzB0G1TVzU9/qiNqW0/hF95LRUrHD9ZEttNz/Ouxwf8/291+oGsiw3mg==" saltValue="fVxHAH6d19TDQEiy0LfJtA==" spinCount="100000" sheet="1" objects="1" scenarios="1"/>
  <mergeCells count="7">
    <mergeCell ref="A22:I23"/>
    <mergeCell ref="A12:I13"/>
    <mergeCell ref="A14:I14"/>
    <mergeCell ref="A15:I16"/>
    <mergeCell ref="A17:I17"/>
    <mergeCell ref="A18:I20"/>
    <mergeCell ref="A21:I21"/>
  </mergeCells>
  <hyperlinks>
    <hyperlink ref="A15:I15" r:id="rId1" display="جهت اطلاع از جدید ترین مباحث مالی و مالیاتی در اینستاگرام سیراف حساب کلیک کنید" xr:uid="{A95559C0-0291-41B8-AF9E-A9DBB78D3524}"/>
    <hyperlink ref="A12:I12" r:id="rId2" display="سیراف حساب: مرکز فروش، آموزش و خدمات حسابداری و مالیات" xr:uid="{7E5079F9-0731-415F-8AA7-1FD531234228}"/>
    <hyperlink ref="A18:I20" r:id="rId3" display="برا ی دریافت به روز ترین  مطالب کاربردی حسابداری و مالیات در تلگرام پرشین حساب کلیک کنید" xr:uid="{F87AA9D1-05F1-4706-BAAE-20C5D9E7513C}"/>
    <hyperlink ref="A22:I23" r:id="rId4" display="جهت مطالعه توضیحات بیشتر در مورد این فایل و تعدیلات سنواتی در حسابداری روی این لینک کلیک کنید" xr:uid="{EAD39BAF-2E81-4146-B4A8-C0344309ABF9}"/>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D682"/>
  <sheetViews>
    <sheetView rightToLeft="1" workbookViewId="0">
      <selection activeCell="C3" sqref="C3"/>
    </sheetView>
  </sheetViews>
  <sheetFormatPr defaultColWidth="8.875" defaultRowHeight="18.75"/>
  <cols>
    <col min="1" max="1" width="8.875" style="2"/>
    <col min="2" max="2" width="85.375" style="2" bestFit="1" customWidth="1"/>
    <col min="3" max="3" width="30.25" style="2" customWidth="1"/>
    <col min="4" max="4" width="25.875" style="2" customWidth="1"/>
    <col min="5" max="5" width="8.875" style="2"/>
    <col min="6" max="6" width="13.75" style="2" customWidth="1"/>
    <col min="7" max="7" width="42.5" style="2" bestFit="1" customWidth="1"/>
    <col min="8" max="16384" width="8.875" style="2"/>
  </cols>
  <sheetData>
    <row r="1" spans="1:238" ht="28.5">
      <c r="A1" s="93" t="s">
        <v>0</v>
      </c>
      <c r="B1" s="93"/>
      <c r="C1" s="93"/>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row>
    <row r="2" spans="1:238" ht="26.25">
      <c r="A2" s="94" t="s">
        <v>1</v>
      </c>
      <c r="B2" s="94"/>
      <c r="C2" s="94"/>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row>
    <row r="3" spans="1:238" ht="21.75">
      <c r="A3" s="126">
        <v>1</v>
      </c>
      <c r="B3" s="11" t="s">
        <v>9</v>
      </c>
      <c r="C3" s="129" t="s">
        <v>25</v>
      </c>
      <c r="D3" s="7"/>
      <c r="E3" s="7"/>
      <c r="F3" s="7"/>
      <c r="G3" s="7"/>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row>
    <row r="4" spans="1:238" ht="21.75">
      <c r="A4" s="126"/>
      <c r="B4" s="6" t="str">
        <f>IF(C3="بله","شما سال گذشته حداقل حقوق را دریافت می‌کردید","حقوق روزانه سال گذشته خود را وارد کنید ( به ریال)")</f>
        <v>شما سال گذشته حداقل حقوق را دریافت می‌کردید</v>
      </c>
      <c r="C4" s="85">
        <v>1000000</v>
      </c>
      <c r="D4" s="7"/>
      <c r="E4" s="7"/>
      <c r="F4" s="7"/>
      <c r="G4" s="7"/>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row>
    <row r="5" spans="1:238" ht="21.75">
      <c r="A5" s="126">
        <v>2</v>
      </c>
      <c r="B5" s="11" t="s">
        <v>2</v>
      </c>
      <c r="C5" s="129" t="s">
        <v>26</v>
      </c>
      <c r="D5" s="7"/>
      <c r="E5" s="7"/>
      <c r="F5" s="7"/>
      <c r="G5" s="7"/>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row>
    <row r="6" spans="1:238" ht="21.75">
      <c r="A6" s="126"/>
      <c r="B6" s="6" t="str">
        <f>IF(C5="کمتر از 720 روز","شما مشمول دریافت حق اولاد نیستید","تعداد فرزند خود را وارد کنید")</f>
        <v>شما مشمول دریافت حق اولاد نیستید</v>
      </c>
      <c r="C6" s="85">
        <v>1</v>
      </c>
      <c r="D6" s="7"/>
      <c r="E6" s="7"/>
      <c r="F6" s="7"/>
      <c r="G6" s="7"/>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row>
    <row r="7" spans="1:238" ht="21.75">
      <c r="A7" s="126">
        <v>3</v>
      </c>
      <c r="B7" s="11" t="s">
        <v>20</v>
      </c>
      <c r="C7" s="129" t="s">
        <v>180</v>
      </c>
      <c r="D7" s="7"/>
      <c r="E7" s="7"/>
      <c r="F7" s="7"/>
      <c r="G7" s="7"/>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row>
    <row r="8" spans="1:238" ht="43.5">
      <c r="A8" s="126"/>
      <c r="B8" s="6" t="str">
        <f>IF(C7="بیش از یکسال","پایه سنوات ماهانه شما در سال قبل چقدر بوده است؟", IF(C7="یکسال","شما در سال جاری مشمول دریافت پایه سنوات هستید","شما مشمول دریافت پایه سنوات نیستید"))</f>
        <v>شما مشمول دریافت پایه سنوات نیستید</v>
      </c>
      <c r="C8" s="130" t="str">
        <f>IF(C7="یکسال",46667,"پایه سنوات سال قبل خود را در فیلد پایین وارد کنید")</f>
        <v>پایه سنوات سال قبل خود را در فیلد پایین وارد کنید</v>
      </c>
      <c r="D8" s="7"/>
      <c r="E8" s="7"/>
      <c r="F8" s="7"/>
      <c r="G8" s="7"/>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row>
    <row r="9" spans="1:238" ht="21.75">
      <c r="A9" s="126"/>
      <c r="B9" s="6" t="str">
        <f>IF(C8="پایه سنوات سال قبل خود را در فیلد پایین وارد کنید","عدد پایه سنوات سال قبل","_")</f>
        <v>عدد پایه سنوات سال قبل</v>
      </c>
      <c r="C9" s="129">
        <v>33333</v>
      </c>
      <c r="D9" s="7"/>
      <c r="E9" s="7"/>
      <c r="F9" s="7"/>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row>
    <row r="10" spans="1:238" ht="20.25">
      <c r="A10" s="7"/>
      <c r="B10" s="7"/>
      <c r="C10" s="7"/>
      <c r="D10" s="9"/>
      <c r="E10" s="7"/>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row>
    <row r="11" spans="1:238" ht="20.25">
      <c r="A11" s="7"/>
      <c r="B11" s="7"/>
      <c r="C11" s="7"/>
      <c r="D11" s="7"/>
      <c r="E11" s="7"/>
      <c r="F11" s="7"/>
      <c r="G11" s="7"/>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row>
    <row r="12" spans="1:238" ht="27">
      <c r="A12" s="126"/>
      <c r="B12" s="12" t="s">
        <v>3</v>
      </c>
      <c r="C12" s="126"/>
      <c r="D12" s="126"/>
      <c r="E12" s="86"/>
      <c r="F12" s="8"/>
      <c r="G12" s="7"/>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row>
    <row r="13" spans="1:238" ht="22.5">
      <c r="A13" s="126"/>
      <c r="B13" s="10" t="s">
        <v>4</v>
      </c>
      <c r="C13" s="13" t="s">
        <v>5</v>
      </c>
      <c r="D13" s="13" t="s">
        <v>6</v>
      </c>
      <c r="E13" s="86"/>
      <c r="F13" s="8"/>
      <c r="G13" s="7"/>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row>
    <row r="14" spans="1:238" ht="22.5">
      <c r="A14" s="126"/>
      <c r="B14" s="10" t="s">
        <v>7</v>
      </c>
      <c r="C14" s="1">
        <f>IF($C$3="بله",26554950,$C$4*30)</f>
        <v>26554950</v>
      </c>
      <c r="D14" s="1">
        <f>IF($C$3="بله",27440115,$C$4*31)</f>
        <v>27440115</v>
      </c>
      <c r="E14" s="86"/>
      <c r="F14" s="7"/>
      <c r="G14" s="7"/>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row>
    <row r="15" spans="1:238" ht="22.5">
      <c r="A15" s="126"/>
      <c r="B15" s="10" t="s">
        <v>19</v>
      </c>
      <c r="C15" s="1" t="str">
        <f>IF($C$7="یکسال",30*46667-10,IF($C$7="بیش از یکسال",(($C$9*1.26)+46667)*30,"0"))</f>
        <v>0</v>
      </c>
      <c r="D15" s="1" t="str">
        <f>IF($C$7="یکسال",31*46667-10,IF($C$7="بیش از یکسال",(($C$9*1.26)+46667)*31,"0"))</f>
        <v>0</v>
      </c>
      <c r="E15" s="86"/>
      <c r="F15" s="7"/>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row>
    <row r="16" spans="1:238" ht="22.5">
      <c r="A16" s="126"/>
      <c r="B16" s="10" t="s">
        <v>18</v>
      </c>
      <c r="C16" s="1">
        <f>200000*30</f>
        <v>6000000</v>
      </c>
      <c r="D16" s="1">
        <f>200000*31</f>
        <v>6200000</v>
      </c>
      <c r="E16" s="86"/>
      <c r="F16" s="7"/>
      <c r="G16" s="131"/>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row>
    <row r="17" spans="1:238" ht="22.5">
      <c r="A17" s="126"/>
      <c r="B17" s="10" t="s">
        <v>17</v>
      </c>
      <c r="C17" s="1">
        <f>150000*30</f>
        <v>4500000</v>
      </c>
      <c r="D17" s="1">
        <f>150000*31</f>
        <v>4650000</v>
      </c>
      <c r="E17" s="86"/>
      <c r="F17" s="7"/>
      <c r="G17" s="131"/>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row>
    <row r="18" spans="1:238" ht="22.5">
      <c r="A18" s="126"/>
      <c r="B18" s="10" t="s">
        <v>8</v>
      </c>
      <c r="C18" s="1">
        <f>IF($C$5="بیش از 720 روز",885165*3*$C$6,0)</f>
        <v>0</v>
      </c>
      <c r="D18" s="1">
        <f>IF($C$5="بیش از 720 روز",885165*3*$C$6,0)</f>
        <v>0</v>
      </c>
      <c r="E18" s="86"/>
      <c r="F18" s="7"/>
      <c r="G18" s="7"/>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row>
    <row r="19" spans="1:238" ht="22.5">
      <c r="A19" s="126"/>
      <c r="B19" s="10" t="s">
        <v>22</v>
      </c>
      <c r="C19" s="127">
        <v>0</v>
      </c>
      <c r="D19" s="127">
        <v>0</v>
      </c>
      <c r="E19" s="86"/>
      <c r="F19" s="7"/>
      <c r="G19" s="7"/>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row>
    <row r="20" spans="1:238" ht="22.5">
      <c r="A20" s="126"/>
      <c r="B20" s="10" t="s">
        <v>23</v>
      </c>
      <c r="C20" s="127">
        <v>0</v>
      </c>
      <c r="D20" s="127">
        <v>0</v>
      </c>
      <c r="E20" s="86"/>
      <c r="F20" s="7"/>
      <c r="G20" s="7"/>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row>
    <row r="21" spans="1:238" ht="22.5">
      <c r="A21" s="126"/>
      <c r="B21" s="10" t="s">
        <v>24</v>
      </c>
      <c r="C21" s="127">
        <v>0</v>
      </c>
      <c r="D21" s="127">
        <v>0</v>
      </c>
      <c r="E21" s="86"/>
      <c r="F21" s="7"/>
      <c r="G21" s="7"/>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row>
    <row r="22" spans="1:238" ht="22.5">
      <c r="A22" s="126"/>
      <c r="B22" s="10" t="s">
        <v>10</v>
      </c>
      <c r="C22" s="1">
        <f>C19+C17+C16+C15+C14+C21</f>
        <v>37054950</v>
      </c>
      <c r="D22" s="1">
        <f>D19+D17+D16+D15+D14+D21</f>
        <v>38290115</v>
      </c>
      <c r="E22" s="86"/>
      <c r="F22" s="7"/>
      <c r="G22" s="7"/>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row>
    <row r="23" spans="1:238" ht="22.5">
      <c r="A23" s="126"/>
      <c r="B23" s="10" t="s">
        <v>11</v>
      </c>
      <c r="C23" s="1">
        <f>(C14+C15+C20+C21)-(((C22*7%)*2)/7)</f>
        <v>25813851</v>
      </c>
      <c r="D23" s="1">
        <f>(D14+D15+D20+D21)-(((D22*7%)*2)/7)</f>
        <v>26674312.699999999</v>
      </c>
      <c r="E23" s="86"/>
      <c r="F23" s="7"/>
      <c r="G23" s="7"/>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row>
    <row r="24" spans="1:238" ht="22.5">
      <c r="A24" s="126"/>
      <c r="B24" s="10" t="s">
        <v>16</v>
      </c>
      <c r="C24" s="1">
        <f>C20+C19+C18+C17+C16+C15+C14+C21</f>
        <v>37054950</v>
      </c>
      <c r="D24" s="1">
        <f>D20+D19+D18+D17+D16+D15+D14+D21</f>
        <v>38290115</v>
      </c>
      <c r="E24" s="86"/>
      <c r="F24" s="7"/>
      <c r="G24" s="7"/>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row>
    <row r="25" spans="1:238" ht="22.5">
      <c r="A25" s="126"/>
      <c r="B25" s="10" t="s">
        <v>12</v>
      </c>
      <c r="C25" s="1">
        <f>C22*7%</f>
        <v>2593846.5000000005</v>
      </c>
      <c r="D25" s="1">
        <f>D22*7%</f>
        <v>2680308.0500000003</v>
      </c>
      <c r="E25" s="86"/>
      <c r="F25" s="7"/>
      <c r="G25" s="7"/>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row>
    <row r="26" spans="1:238" ht="22.5">
      <c r="A26" s="126"/>
      <c r="B26" s="10" t="s">
        <v>14</v>
      </c>
      <c r="C26" s="1">
        <f>IF(C23&lt;=40000000,0,IF(AND(C23&gt;40000000,C23&lt;=80000000),(C23-40000000)*10%,IF(AND(C23&gt;80000000,C23&lt;=120000000),4000000+(C23-80000000)*15%,IF(AND(C23&gt;120000000,C23&lt;=180000000),10000000+(C23-120000000)*20%,IF(AND(C23&gt;180000000,C23&lt;=240000000),22000000+(C23-180000000)*25%,IF(AND(C23&gt;240000000,C23&lt;=320000000),37000000+(C23-240000000)*30%,61000000+(C23-320000000)*35%))))))</f>
        <v>0</v>
      </c>
      <c r="D26" s="1">
        <f>IF(D23&lt;=40000000,0,IF(AND(D23&gt;40000000,D23&lt;=80000000),(D23-40000000)*10%,IF(AND(D23&gt;80000000,D23&lt;=120000000),4000000+(D23-80000000)*15%,IF(AND(D23&gt;120000000,D23&lt;=180000000),10000000+(D23-120000000)*20%,IF(AND(D23&gt;180000000,D23&lt;=240000000),22000000+(D23-180000000)*25%,IF(AND(D23&gt;240000000,D23&lt;=320000000),37000000+(D23-240000000)*30%,61000000+(D23-320000000)*35%))))))</f>
        <v>0</v>
      </c>
      <c r="E26" s="86"/>
      <c r="F26" s="7"/>
      <c r="G26" s="7"/>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row>
    <row r="27" spans="1:238" ht="22.5">
      <c r="A27" s="126"/>
      <c r="B27" s="10" t="s">
        <v>15</v>
      </c>
      <c r="C27" s="128">
        <v>0</v>
      </c>
      <c r="D27" s="128">
        <v>0</v>
      </c>
      <c r="E27" s="86"/>
      <c r="F27" s="7"/>
      <c r="G27" s="7"/>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row>
    <row r="28" spans="1:238" ht="22.5">
      <c r="A28" s="126"/>
      <c r="B28" s="10" t="s">
        <v>13</v>
      </c>
      <c r="C28" s="1">
        <f>C24-C25-C26-C27</f>
        <v>34461103.5</v>
      </c>
      <c r="D28" s="1">
        <f>D24-D25-D26-D27</f>
        <v>35609806.950000003</v>
      </c>
      <c r="E28" s="86"/>
      <c r="F28" s="7"/>
      <c r="G28" s="7"/>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row>
    <row r="29" spans="1:238" ht="22.5">
      <c r="A29" s="126"/>
      <c r="B29" s="10" t="s">
        <v>21</v>
      </c>
      <c r="C29" s="1">
        <f>(C14/220)*140%</f>
        <v>168986.04545454544</v>
      </c>
      <c r="D29" s="1">
        <f>(D14/227.33)*140%</f>
        <v>168988.52329213038</v>
      </c>
      <c r="E29" s="86"/>
      <c r="F29" s="7"/>
      <c r="G29" s="7"/>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row>
    <row r="30" spans="1:238" ht="20.25">
      <c r="A30" s="86"/>
      <c r="B30" s="4"/>
      <c r="C30" s="5"/>
      <c r="D30" s="5"/>
      <c r="E30" s="86"/>
      <c r="F30" s="7"/>
      <c r="G30" s="7"/>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row>
    <row r="31" spans="1:238" ht="20.25">
      <c r="A31" s="7"/>
      <c r="B31" s="3"/>
      <c r="C31" s="3"/>
      <c r="D31" s="3"/>
      <c r="E31" s="7"/>
      <c r="F31" s="7"/>
      <c r="G31" s="7"/>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row>
    <row r="32" spans="1:238" ht="20.25">
      <c r="A32" s="7"/>
      <c r="B32" s="3"/>
      <c r="C32" s="3"/>
      <c r="D32" s="3"/>
      <c r="E32" s="7"/>
      <c r="F32" s="7"/>
      <c r="G32" s="7"/>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row>
    <row r="33" spans="1:238" ht="20.25">
      <c r="A33" s="3"/>
      <c r="B33" s="3"/>
      <c r="C33" s="3"/>
      <c r="D33" s="3"/>
      <c r="E33" s="7"/>
      <c r="F33" s="7"/>
      <c r="G33" s="7"/>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row>
    <row r="34" spans="1:238" ht="20.25">
      <c r="A34" s="3"/>
      <c r="B34" s="3"/>
      <c r="C34" s="3"/>
      <c r="D34" s="3"/>
      <c r="E34" s="7"/>
      <c r="F34" s="7"/>
      <c r="G34" s="7"/>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row>
    <row r="35" spans="1:238" ht="20.25">
      <c r="A35" s="3"/>
      <c r="B35" s="3"/>
      <c r="C35" s="3"/>
      <c r="D35" s="3"/>
      <c r="E35" s="7"/>
      <c r="F35" s="7"/>
      <c r="G35" s="7"/>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row>
    <row r="36" spans="1:23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row>
    <row r="37" spans="1:23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row>
    <row r="38" spans="1:23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row>
    <row r="39" spans="1:23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row>
    <row r="40" spans="1:23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row>
    <row r="41" spans="1:23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row>
    <row r="42" spans="1:23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row>
    <row r="43" spans="1:23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row>
    <row r="44" spans="1:23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row>
    <row r="45" spans="1:23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row>
    <row r="46" spans="1:23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row>
    <row r="47" spans="1:23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row>
    <row r="48" spans="1:23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row>
    <row r="49" spans="5:23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row>
    <row r="50" spans="5:23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row>
    <row r="51" spans="5:23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row>
    <row r="52" spans="5:23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row>
    <row r="53" spans="5:23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row>
    <row r="54" spans="5:23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row>
    <row r="55" spans="5:23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row>
    <row r="56" spans="5:23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row>
    <row r="57" spans="5:23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row>
    <row r="58" spans="5:23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row>
    <row r="59" spans="5:23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row>
    <row r="60" spans="5:23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row>
    <row r="61" spans="5:23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row>
    <row r="62" spans="5:23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row>
    <row r="63" spans="5:23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row>
    <row r="64" spans="5:23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row>
    <row r="65" spans="5:23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row>
    <row r="66" spans="5:23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row>
    <row r="67" spans="5:23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row>
    <row r="68" spans="5:23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row>
    <row r="69" spans="5:23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row>
    <row r="70" spans="5:23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row>
    <row r="71" spans="5:23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row>
    <row r="72" spans="5:23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row>
    <row r="73" spans="5:23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row>
    <row r="74" spans="5:23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row>
    <row r="75" spans="5:23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row>
    <row r="76" spans="5:23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row>
    <row r="77" spans="5:23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row>
    <row r="78" spans="5:23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row>
    <row r="79" spans="5:23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row>
    <row r="80" spans="5:23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row>
    <row r="81" spans="5:23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row>
    <row r="82" spans="5:23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row>
    <row r="83" spans="5:23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row>
    <row r="84" spans="5:23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row>
    <row r="85" spans="5:23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row>
    <row r="86" spans="5:23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row>
    <row r="87" spans="5:23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row>
    <row r="88" spans="5:23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row>
    <row r="89" spans="5:23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row>
    <row r="90" spans="5:23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row>
    <row r="91" spans="5:23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row>
    <row r="92" spans="5:23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row>
    <row r="93" spans="5:23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row>
    <row r="94" spans="5:23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row>
    <row r="95" spans="5:23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row>
    <row r="96" spans="5:23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row>
    <row r="97" spans="5:23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row>
    <row r="98" spans="5:23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row>
    <row r="99" spans="5:23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row>
    <row r="100" spans="5:23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row>
    <row r="101" spans="5:23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row>
    <row r="102" spans="5:23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row>
    <row r="103" spans="5:23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row>
    <row r="104" spans="5:23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row>
    <row r="105" spans="5:23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row>
    <row r="106" spans="5:23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row>
    <row r="107" spans="5:23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row>
    <row r="108" spans="5:23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row>
    <row r="109" spans="5:23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row>
    <row r="110" spans="5:23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row>
    <row r="111" spans="5:23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row>
    <row r="112" spans="5:23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row>
    <row r="113" spans="5:23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row>
    <row r="114" spans="5:23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row>
    <row r="115" spans="5:23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row>
    <row r="116" spans="5:23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row>
    <row r="117" spans="5:23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row>
    <row r="118" spans="5:23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row>
    <row r="119" spans="5:23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row>
    <row r="120" spans="5:23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row>
    <row r="121" spans="5:23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row>
    <row r="122" spans="5:23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c r="IB122" s="8"/>
      <c r="IC122" s="8"/>
      <c r="ID122" s="8"/>
    </row>
    <row r="123" spans="5:23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row>
    <row r="124" spans="5:23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row>
    <row r="125" spans="5:23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row>
    <row r="126" spans="5:23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row>
    <row r="127" spans="5:23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row>
    <row r="128" spans="5:23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row>
    <row r="129" spans="5:23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row>
    <row r="130" spans="5:23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row>
    <row r="131" spans="5:23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row>
    <row r="132" spans="5:23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row>
    <row r="133" spans="5:23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row>
    <row r="134" spans="5:23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c r="HU134" s="8"/>
      <c r="HV134" s="8"/>
      <c r="HW134" s="8"/>
      <c r="HX134" s="8"/>
      <c r="HY134" s="8"/>
      <c r="HZ134" s="8"/>
      <c r="IA134" s="8"/>
      <c r="IB134" s="8"/>
      <c r="IC134" s="8"/>
      <c r="ID134" s="8"/>
    </row>
    <row r="135" spans="5:23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row>
    <row r="136" spans="5:23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row>
    <row r="137" spans="5:23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row>
    <row r="138" spans="5:23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c r="IB138" s="8"/>
      <c r="IC138" s="8"/>
      <c r="ID138" s="8"/>
    </row>
    <row r="139" spans="5:23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c r="HU139" s="8"/>
      <c r="HV139" s="8"/>
      <c r="HW139" s="8"/>
      <c r="HX139" s="8"/>
      <c r="HY139" s="8"/>
      <c r="HZ139" s="8"/>
      <c r="IA139" s="8"/>
      <c r="IB139" s="8"/>
      <c r="IC139" s="8"/>
      <c r="ID139" s="8"/>
    </row>
    <row r="140" spans="5:23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c r="HU140" s="8"/>
      <c r="HV140" s="8"/>
      <c r="HW140" s="8"/>
      <c r="HX140" s="8"/>
      <c r="HY140" s="8"/>
      <c r="HZ140" s="8"/>
      <c r="IA140" s="8"/>
      <c r="IB140" s="8"/>
      <c r="IC140" s="8"/>
      <c r="ID140" s="8"/>
    </row>
    <row r="141" spans="5:23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c r="IB141" s="8"/>
      <c r="IC141" s="8"/>
      <c r="ID141" s="8"/>
    </row>
    <row r="142" spans="5:23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row>
    <row r="143" spans="5:23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row>
    <row r="144" spans="5:23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c r="HF144" s="8"/>
      <c r="HG144" s="8"/>
      <c r="HH144" s="8"/>
      <c r="HI144" s="8"/>
      <c r="HJ144" s="8"/>
      <c r="HK144" s="8"/>
      <c r="HL144" s="8"/>
      <c r="HM144" s="8"/>
      <c r="HN144" s="8"/>
      <c r="HO144" s="8"/>
      <c r="HP144" s="8"/>
      <c r="HQ144" s="8"/>
      <c r="HR144" s="8"/>
      <c r="HS144" s="8"/>
      <c r="HT144" s="8"/>
      <c r="HU144" s="8"/>
      <c r="HV144" s="8"/>
      <c r="HW144" s="8"/>
      <c r="HX144" s="8"/>
      <c r="HY144" s="8"/>
      <c r="HZ144" s="8"/>
      <c r="IA144" s="8"/>
      <c r="IB144" s="8"/>
      <c r="IC144" s="8"/>
      <c r="ID144" s="8"/>
    </row>
    <row r="145" spans="5:23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c r="HP145" s="8"/>
      <c r="HQ145" s="8"/>
      <c r="HR145" s="8"/>
      <c r="HS145" s="8"/>
      <c r="HT145" s="8"/>
      <c r="HU145" s="8"/>
      <c r="HV145" s="8"/>
      <c r="HW145" s="8"/>
      <c r="HX145" s="8"/>
      <c r="HY145" s="8"/>
      <c r="HZ145" s="8"/>
      <c r="IA145" s="8"/>
      <c r="IB145" s="8"/>
      <c r="IC145" s="8"/>
      <c r="ID145" s="8"/>
    </row>
    <row r="146" spans="5:23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c r="HF146" s="8"/>
      <c r="HG146" s="8"/>
      <c r="HH146" s="8"/>
      <c r="HI146" s="8"/>
      <c r="HJ146" s="8"/>
      <c r="HK146" s="8"/>
      <c r="HL146" s="8"/>
      <c r="HM146" s="8"/>
      <c r="HN146" s="8"/>
      <c r="HO146" s="8"/>
      <c r="HP146" s="8"/>
      <c r="HQ146" s="8"/>
      <c r="HR146" s="8"/>
      <c r="HS146" s="8"/>
      <c r="HT146" s="8"/>
      <c r="HU146" s="8"/>
      <c r="HV146" s="8"/>
      <c r="HW146" s="8"/>
      <c r="HX146" s="8"/>
      <c r="HY146" s="8"/>
      <c r="HZ146" s="8"/>
      <c r="IA146" s="8"/>
      <c r="IB146" s="8"/>
      <c r="IC146" s="8"/>
      <c r="ID146" s="8"/>
    </row>
    <row r="147" spans="5:23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c r="IB147" s="8"/>
      <c r="IC147" s="8"/>
      <c r="ID147" s="8"/>
    </row>
    <row r="148" spans="5:23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row>
    <row r="149" spans="5:23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row>
    <row r="150" spans="5:23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row>
    <row r="151" spans="5:23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row>
    <row r="152" spans="5:23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c r="IB152" s="8"/>
      <c r="IC152" s="8"/>
      <c r="ID152" s="8"/>
    </row>
    <row r="153" spans="5:23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c r="IB153" s="8"/>
      <c r="IC153" s="8"/>
      <c r="ID153" s="8"/>
    </row>
    <row r="154" spans="5:23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c r="IB154" s="8"/>
      <c r="IC154" s="8"/>
      <c r="ID154" s="8"/>
    </row>
    <row r="155" spans="5:23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row>
    <row r="156" spans="5:23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row>
    <row r="157" spans="5:23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row>
    <row r="158" spans="5:23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c r="HP158" s="8"/>
      <c r="HQ158" s="8"/>
      <c r="HR158" s="8"/>
      <c r="HS158" s="8"/>
      <c r="HT158" s="8"/>
      <c r="HU158" s="8"/>
      <c r="HV158" s="8"/>
      <c r="HW158" s="8"/>
      <c r="HX158" s="8"/>
      <c r="HY158" s="8"/>
      <c r="HZ158" s="8"/>
      <c r="IA158" s="8"/>
      <c r="IB158" s="8"/>
      <c r="IC158" s="8"/>
      <c r="ID158" s="8"/>
    </row>
    <row r="159" spans="5:23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c r="HP159" s="8"/>
      <c r="HQ159" s="8"/>
      <c r="HR159" s="8"/>
      <c r="HS159" s="8"/>
      <c r="HT159" s="8"/>
      <c r="HU159" s="8"/>
      <c r="HV159" s="8"/>
      <c r="HW159" s="8"/>
      <c r="HX159" s="8"/>
      <c r="HY159" s="8"/>
      <c r="HZ159" s="8"/>
      <c r="IA159" s="8"/>
      <c r="IB159" s="8"/>
      <c r="IC159" s="8"/>
      <c r="ID159" s="8"/>
    </row>
    <row r="160" spans="5:23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c r="HB160" s="8"/>
      <c r="HC160" s="8"/>
      <c r="HD160" s="8"/>
      <c r="HE160" s="8"/>
      <c r="HF160" s="8"/>
      <c r="HG160" s="8"/>
      <c r="HH160" s="8"/>
      <c r="HI160" s="8"/>
      <c r="HJ160" s="8"/>
      <c r="HK160" s="8"/>
      <c r="HL160" s="8"/>
      <c r="HM160" s="8"/>
      <c r="HN160" s="8"/>
      <c r="HO160" s="8"/>
      <c r="HP160" s="8"/>
      <c r="HQ160" s="8"/>
      <c r="HR160" s="8"/>
      <c r="HS160" s="8"/>
      <c r="HT160" s="8"/>
      <c r="HU160" s="8"/>
      <c r="HV160" s="8"/>
      <c r="HW160" s="8"/>
      <c r="HX160" s="8"/>
      <c r="HY160" s="8"/>
      <c r="HZ160" s="8"/>
      <c r="IA160" s="8"/>
      <c r="IB160" s="8"/>
      <c r="IC160" s="8"/>
      <c r="ID160" s="8"/>
    </row>
    <row r="161" spans="5:23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c r="HB161" s="8"/>
      <c r="HC161" s="8"/>
      <c r="HD161" s="8"/>
      <c r="HE161" s="8"/>
      <c r="HF161" s="8"/>
      <c r="HG161" s="8"/>
      <c r="HH161" s="8"/>
      <c r="HI161" s="8"/>
      <c r="HJ161" s="8"/>
      <c r="HK161" s="8"/>
      <c r="HL161" s="8"/>
      <c r="HM161" s="8"/>
      <c r="HN161" s="8"/>
      <c r="HO161" s="8"/>
      <c r="HP161" s="8"/>
      <c r="HQ161" s="8"/>
      <c r="HR161" s="8"/>
      <c r="HS161" s="8"/>
      <c r="HT161" s="8"/>
      <c r="HU161" s="8"/>
      <c r="HV161" s="8"/>
      <c r="HW161" s="8"/>
      <c r="HX161" s="8"/>
      <c r="HY161" s="8"/>
      <c r="HZ161" s="8"/>
      <c r="IA161" s="8"/>
      <c r="IB161" s="8"/>
      <c r="IC161" s="8"/>
      <c r="ID161" s="8"/>
    </row>
    <row r="162" spans="5:23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c r="HP162" s="8"/>
      <c r="HQ162" s="8"/>
      <c r="HR162" s="8"/>
      <c r="HS162" s="8"/>
      <c r="HT162" s="8"/>
      <c r="HU162" s="8"/>
      <c r="HV162" s="8"/>
      <c r="HW162" s="8"/>
      <c r="HX162" s="8"/>
      <c r="HY162" s="8"/>
      <c r="HZ162" s="8"/>
      <c r="IA162" s="8"/>
      <c r="IB162" s="8"/>
      <c r="IC162" s="8"/>
      <c r="ID162" s="8"/>
    </row>
    <row r="163" spans="5:23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c r="HU163" s="8"/>
      <c r="HV163" s="8"/>
      <c r="HW163" s="8"/>
      <c r="HX163" s="8"/>
      <c r="HY163" s="8"/>
      <c r="HZ163" s="8"/>
      <c r="IA163" s="8"/>
      <c r="IB163" s="8"/>
      <c r="IC163" s="8"/>
      <c r="ID163" s="8"/>
    </row>
    <row r="164" spans="5:23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c r="HU164" s="8"/>
      <c r="HV164" s="8"/>
      <c r="HW164" s="8"/>
      <c r="HX164" s="8"/>
      <c r="HY164" s="8"/>
      <c r="HZ164" s="8"/>
      <c r="IA164" s="8"/>
      <c r="IB164" s="8"/>
      <c r="IC164" s="8"/>
      <c r="ID164" s="8"/>
    </row>
    <row r="165" spans="5:23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c r="IB165" s="8"/>
      <c r="IC165" s="8"/>
      <c r="ID165" s="8"/>
    </row>
    <row r="166" spans="5:23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row>
    <row r="167" spans="5:23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c r="HU167" s="8"/>
      <c r="HV167" s="8"/>
      <c r="HW167" s="8"/>
      <c r="HX167" s="8"/>
      <c r="HY167" s="8"/>
      <c r="HZ167" s="8"/>
      <c r="IA167" s="8"/>
      <c r="IB167" s="8"/>
      <c r="IC167" s="8"/>
      <c r="ID167" s="8"/>
    </row>
    <row r="168" spans="5:23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c r="HP168" s="8"/>
      <c r="HQ168" s="8"/>
      <c r="HR168" s="8"/>
      <c r="HS168" s="8"/>
      <c r="HT168" s="8"/>
      <c r="HU168" s="8"/>
      <c r="HV168" s="8"/>
      <c r="HW168" s="8"/>
      <c r="HX168" s="8"/>
      <c r="HY168" s="8"/>
      <c r="HZ168" s="8"/>
      <c r="IA168" s="8"/>
      <c r="IB168" s="8"/>
      <c r="IC168" s="8"/>
      <c r="ID168" s="8"/>
    </row>
    <row r="169" spans="5:23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c r="HP169" s="8"/>
      <c r="HQ169" s="8"/>
      <c r="HR169" s="8"/>
      <c r="HS169" s="8"/>
      <c r="HT169" s="8"/>
      <c r="HU169" s="8"/>
      <c r="HV169" s="8"/>
      <c r="HW169" s="8"/>
      <c r="HX169" s="8"/>
      <c r="HY169" s="8"/>
      <c r="HZ169" s="8"/>
      <c r="IA169" s="8"/>
      <c r="IB169" s="8"/>
      <c r="IC169" s="8"/>
      <c r="ID169" s="8"/>
    </row>
    <row r="170" spans="5:23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c r="HP170" s="8"/>
      <c r="HQ170" s="8"/>
      <c r="HR170" s="8"/>
      <c r="HS170" s="8"/>
      <c r="HT170" s="8"/>
      <c r="HU170" s="8"/>
      <c r="HV170" s="8"/>
      <c r="HW170" s="8"/>
      <c r="HX170" s="8"/>
      <c r="HY170" s="8"/>
      <c r="HZ170" s="8"/>
      <c r="IA170" s="8"/>
      <c r="IB170" s="8"/>
      <c r="IC170" s="8"/>
      <c r="ID170" s="8"/>
    </row>
    <row r="171" spans="5:23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c r="HU171" s="8"/>
      <c r="HV171" s="8"/>
      <c r="HW171" s="8"/>
      <c r="HX171" s="8"/>
      <c r="HY171" s="8"/>
      <c r="HZ171" s="8"/>
      <c r="IA171" s="8"/>
      <c r="IB171" s="8"/>
      <c r="IC171" s="8"/>
      <c r="ID171" s="8"/>
    </row>
    <row r="172" spans="5:23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c r="HP172" s="8"/>
      <c r="HQ172" s="8"/>
      <c r="HR172" s="8"/>
      <c r="HS172" s="8"/>
      <c r="HT172" s="8"/>
      <c r="HU172" s="8"/>
      <c r="HV172" s="8"/>
      <c r="HW172" s="8"/>
      <c r="HX172" s="8"/>
      <c r="HY172" s="8"/>
      <c r="HZ172" s="8"/>
      <c r="IA172" s="8"/>
      <c r="IB172" s="8"/>
      <c r="IC172" s="8"/>
      <c r="ID172" s="8"/>
    </row>
    <row r="173" spans="5:23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c r="HP173" s="8"/>
      <c r="HQ173" s="8"/>
      <c r="HR173" s="8"/>
      <c r="HS173" s="8"/>
      <c r="HT173" s="8"/>
      <c r="HU173" s="8"/>
      <c r="HV173" s="8"/>
      <c r="HW173" s="8"/>
      <c r="HX173" s="8"/>
      <c r="HY173" s="8"/>
      <c r="HZ173" s="8"/>
      <c r="IA173" s="8"/>
      <c r="IB173" s="8"/>
      <c r="IC173" s="8"/>
      <c r="ID173" s="8"/>
    </row>
    <row r="174" spans="5:23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c r="HP174" s="8"/>
      <c r="HQ174" s="8"/>
      <c r="HR174" s="8"/>
      <c r="HS174" s="8"/>
      <c r="HT174" s="8"/>
      <c r="HU174" s="8"/>
      <c r="HV174" s="8"/>
      <c r="HW174" s="8"/>
      <c r="HX174" s="8"/>
      <c r="HY174" s="8"/>
      <c r="HZ174" s="8"/>
      <c r="IA174" s="8"/>
      <c r="IB174" s="8"/>
      <c r="IC174" s="8"/>
      <c r="ID174" s="8"/>
    </row>
    <row r="175" spans="5:23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c r="GO175" s="8"/>
      <c r="GP175" s="8"/>
      <c r="GQ175" s="8"/>
      <c r="GR175" s="8"/>
      <c r="GS175" s="8"/>
      <c r="GT175" s="8"/>
      <c r="GU175" s="8"/>
      <c r="GV175" s="8"/>
      <c r="GW175" s="8"/>
      <c r="GX175" s="8"/>
      <c r="GY175" s="8"/>
      <c r="GZ175" s="8"/>
      <c r="HA175" s="8"/>
      <c r="HB175" s="8"/>
      <c r="HC175" s="8"/>
      <c r="HD175" s="8"/>
      <c r="HE175" s="8"/>
      <c r="HF175" s="8"/>
      <c r="HG175" s="8"/>
      <c r="HH175" s="8"/>
      <c r="HI175" s="8"/>
      <c r="HJ175" s="8"/>
      <c r="HK175" s="8"/>
      <c r="HL175" s="8"/>
      <c r="HM175" s="8"/>
      <c r="HN175" s="8"/>
      <c r="HO175" s="8"/>
      <c r="HP175" s="8"/>
      <c r="HQ175" s="8"/>
      <c r="HR175" s="8"/>
      <c r="HS175" s="8"/>
      <c r="HT175" s="8"/>
      <c r="HU175" s="8"/>
      <c r="HV175" s="8"/>
      <c r="HW175" s="8"/>
      <c r="HX175" s="8"/>
      <c r="HY175" s="8"/>
      <c r="HZ175" s="8"/>
      <c r="IA175" s="8"/>
      <c r="IB175" s="8"/>
      <c r="IC175" s="8"/>
      <c r="ID175" s="8"/>
    </row>
    <row r="176" spans="5:23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c r="GO176" s="8"/>
      <c r="GP176" s="8"/>
      <c r="GQ176" s="8"/>
      <c r="GR176" s="8"/>
      <c r="GS176" s="8"/>
      <c r="GT176" s="8"/>
      <c r="GU176" s="8"/>
      <c r="GV176" s="8"/>
      <c r="GW176" s="8"/>
      <c r="GX176" s="8"/>
      <c r="GY176" s="8"/>
      <c r="GZ176" s="8"/>
      <c r="HA176" s="8"/>
      <c r="HB176" s="8"/>
      <c r="HC176" s="8"/>
      <c r="HD176" s="8"/>
      <c r="HE176" s="8"/>
      <c r="HF176" s="8"/>
      <c r="HG176" s="8"/>
      <c r="HH176" s="8"/>
      <c r="HI176" s="8"/>
      <c r="HJ176" s="8"/>
      <c r="HK176" s="8"/>
      <c r="HL176" s="8"/>
      <c r="HM176" s="8"/>
      <c r="HN176" s="8"/>
      <c r="HO176" s="8"/>
      <c r="HP176" s="8"/>
      <c r="HQ176" s="8"/>
      <c r="HR176" s="8"/>
      <c r="HS176" s="8"/>
      <c r="HT176" s="8"/>
      <c r="HU176" s="8"/>
      <c r="HV176" s="8"/>
      <c r="HW176" s="8"/>
      <c r="HX176" s="8"/>
      <c r="HY176" s="8"/>
      <c r="HZ176" s="8"/>
      <c r="IA176" s="8"/>
      <c r="IB176" s="8"/>
      <c r="IC176" s="8"/>
      <c r="ID176" s="8"/>
    </row>
    <row r="177" spans="5:23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c r="GO177" s="8"/>
      <c r="GP177" s="8"/>
      <c r="GQ177" s="8"/>
      <c r="GR177" s="8"/>
      <c r="GS177" s="8"/>
      <c r="GT177" s="8"/>
      <c r="GU177" s="8"/>
      <c r="GV177" s="8"/>
      <c r="GW177" s="8"/>
      <c r="GX177" s="8"/>
      <c r="GY177" s="8"/>
      <c r="GZ177" s="8"/>
      <c r="HA177" s="8"/>
      <c r="HB177" s="8"/>
      <c r="HC177" s="8"/>
      <c r="HD177" s="8"/>
      <c r="HE177" s="8"/>
      <c r="HF177" s="8"/>
      <c r="HG177" s="8"/>
      <c r="HH177" s="8"/>
      <c r="HI177" s="8"/>
      <c r="HJ177" s="8"/>
      <c r="HK177" s="8"/>
      <c r="HL177" s="8"/>
      <c r="HM177" s="8"/>
      <c r="HN177" s="8"/>
      <c r="HO177" s="8"/>
      <c r="HP177" s="8"/>
      <c r="HQ177" s="8"/>
      <c r="HR177" s="8"/>
      <c r="HS177" s="8"/>
      <c r="HT177" s="8"/>
      <c r="HU177" s="8"/>
      <c r="HV177" s="8"/>
      <c r="HW177" s="8"/>
      <c r="HX177" s="8"/>
      <c r="HY177" s="8"/>
      <c r="HZ177" s="8"/>
      <c r="IA177" s="8"/>
      <c r="IB177" s="8"/>
      <c r="IC177" s="8"/>
      <c r="ID177" s="8"/>
    </row>
    <row r="178" spans="5:23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c r="GO178" s="8"/>
      <c r="GP178" s="8"/>
      <c r="GQ178" s="8"/>
      <c r="GR178" s="8"/>
      <c r="GS178" s="8"/>
      <c r="GT178" s="8"/>
      <c r="GU178" s="8"/>
      <c r="GV178" s="8"/>
      <c r="GW178" s="8"/>
      <c r="GX178" s="8"/>
      <c r="GY178" s="8"/>
      <c r="GZ178" s="8"/>
      <c r="HA178" s="8"/>
      <c r="HB178" s="8"/>
      <c r="HC178" s="8"/>
      <c r="HD178" s="8"/>
      <c r="HE178" s="8"/>
      <c r="HF178" s="8"/>
      <c r="HG178" s="8"/>
      <c r="HH178" s="8"/>
      <c r="HI178" s="8"/>
      <c r="HJ178" s="8"/>
      <c r="HK178" s="8"/>
      <c r="HL178" s="8"/>
      <c r="HM178" s="8"/>
      <c r="HN178" s="8"/>
      <c r="HO178" s="8"/>
      <c r="HP178" s="8"/>
      <c r="HQ178" s="8"/>
      <c r="HR178" s="8"/>
      <c r="HS178" s="8"/>
      <c r="HT178" s="8"/>
      <c r="HU178" s="8"/>
      <c r="HV178" s="8"/>
      <c r="HW178" s="8"/>
      <c r="HX178" s="8"/>
      <c r="HY178" s="8"/>
      <c r="HZ178" s="8"/>
      <c r="IA178" s="8"/>
      <c r="IB178" s="8"/>
      <c r="IC178" s="8"/>
      <c r="ID178" s="8"/>
    </row>
    <row r="179" spans="5:23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c r="FV179" s="8"/>
      <c r="FW179" s="8"/>
      <c r="FX179" s="8"/>
      <c r="FY179" s="8"/>
      <c r="FZ179" s="8"/>
      <c r="GA179" s="8"/>
      <c r="GB179" s="8"/>
      <c r="GC179" s="8"/>
      <c r="GD179" s="8"/>
      <c r="GE179" s="8"/>
      <c r="GF179" s="8"/>
      <c r="GG179" s="8"/>
      <c r="GH179" s="8"/>
      <c r="GI179" s="8"/>
      <c r="GJ179" s="8"/>
      <c r="GK179" s="8"/>
      <c r="GL179" s="8"/>
      <c r="GM179" s="8"/>
      <c r="GN179" s="8"/>
      <c r="GO179" s="8"/>
      <c r="GP179" s="8"/>
      <c r="GQ179" s="8"/>
      <c r="GR179" s="8"/>
      <c r="GS179" s="8"/>
      <c r="GT179" s="8"/>
      <c r="GU179" s="8"/>
      <c r="GV179" s="8"/>
      <c r="GW179" s="8"/>
      <c r="GX179" s="8"/>
      <c r="GY179" s="8"/>
      <c r="GZ179" s="8"/>
      <c r="HA179" s="8"/>
      <c r="HB179" s="8"/>
      <c r="HC179" s="8"/>
      <c r="HD179" s="8"/>
      <c r="HE179" s="8"/>
      <c r="HF179" s="8"/>
      <c r="HG179" s="8"/>
      <c r="HH179" s="8"/>
      <c r="HI179" s="8"/>
      <c r="HJ179" s="8"/>
      <c r="HK179" s="8"/>
      <c r="HL179" s="8"/>
      <c r="HM179" s="8"/>
      <c r="HN179" s="8"/>
      <c r="HO179" s="8"/>
      <c r="HP179" s="8"/>
      <c r="HQ179" s="8"/>
      <c r="HR179" s="8"/>
      <c r="HS179" s="8"/>
      <c r="HT179" s="8"/>
      <c r="HU179" s="8"/>
      <c r="HV179" s="8"/>
      <c r="HW179" s="8"/>
      <c r="HX179" s="8"/>
      <c r="HY179" s="8"/>
      <c r="HZ179" s="8"/>
      <c r="IA179" s="8"/>
      <c r="IB179" s="8"/>
      <c r="IC179" s="8"/>
      <c r="ID179" s="8"/>
    </row>
    <row r="180" spans="5:23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c r="FV180" s="8"/>
      <c r="FW180" s="8"/>
      <c r="FX180" s="8"/>
      <c r="FY180" s="8"/>
      <c r="FZ180" s="8"/>
      <c r="GA180" s="8"/>
      <c r="GB180" s="8"/>
      <c r="GC180" s="8"/>
      <c r="GD180" s="8"/>
      <c r="GE180" s="8"/>
      <c r="GF180" s="8"/>
      <c r="GG180" s="8"/>
      <c r="GH180" s="8"/>
      <c r="GI180" s="8"/>
      <c r="GJ180" s="8"/>
      <c r="GK180" s="8"/>
      <c r="GL180" s="8"/>
      <c r="GM180" s="8"/>
      <c r="GN180" s="8"/>
      <c r="GO180" s="8"/>
      <c r="GP180" s="8"/>
      <c r="GQ180" s="8"/>
      <c r="GR180" s="8"/>
      <c r="GS180" s="8"/>
      <c r="GT180" s="8"/>
      <c r="GU180" s="8"/>
      <c r="GV180" s="8"/>
      <c r="GW180" s="8"/>
      <c r="GX180" s="8"/>
      <c r="GY180" s="8"/>
      <c r="GZ180" s="8"/>
      <c r="HA180" s="8"/>
      <c r="HB180" s="8"/>
      <c r="HC180" s="8"/>
      <c r="HD180" s="8"/>
      <c r="HE180" s="8"/>
      <c r="HF180" s="8"/>
      <c r="HG180" s="8"/>
      <c r="HH180" s="8"/>
      <c r="HI180" s="8"/>
      <c r="HJ180" s="8"/>
      <c r="HK180" s="8"/>
      <c r="HL180" s="8"/>
      <c r="HM180" s="8"/>
      <c r="HN180" s="8"/>
      <c r="HO180" s="8"/>
      <c r="HP180" s="8"/>
      <c r="HQ180" s="8"/>
      <c r="HR180" s="8"/>
      <c r="HS180" s="8"/>
      <c r="HT180" s="8"/>
      <c r="HU180" s="8"/>
      <c r="HV180" s="8"/>
      <c r="HW180" s="8"/>
      <c r="HX180" s="8"/>
      <c r="HY180" s="8"/>
      <c r="HZ180" s="8"/>
      <c r="IA180" s="8"/>
      <c r="IB180" s="8"/>
      <c r="IC180" s="8"/>
      <c r="ID180" s="8"/>
    </row>
    <row r="181" spans="5:23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c r="GO181" s="8"/>
      <c r="GP181" s="8"/>
      <c r="GQ181" s="8"/>
      <c r="GR181" s="8"/>
      <c r="GS181" s="8"/>
      <c r="GT181" s="8"/>
      <c r="GU181" s="8"/>
      <c r="GV181" s="8"/>
      <c r="GW181" s="8"/>
      <c r="GX181" s="8"/>
      <c r="GY181" s="8"/>
      <c r="GZ181" s="8"/>
      <c r="HA181" s="8"/>
      <c r="HB181" s="8"/>
      <c r="HC181" s="8"/>
      <c r="HD181" s="8"/>
      <c r="HE181" s="8"/>
      <c r="HF181" s="8"/>
      <c r="HG181" s="8"/>
      <c r="HH181" s="8"/>
      <c r="HI181" s="8"/>
      <c r="HJ181" s="8"/>
      <c r="HK181" s="8"/>
      <c r="HL181" s="8"/>
      <c r="HM181" s="8"/>
      <c r="HN181" s="8"/>
      <c r="HO181" s="8"/>
      <c r="HP181" s="8"/>
      <c r="HQ181" s="8"/>
      <c r="HR181" s="8"/>
      <c r="HS181" s="8"/>
      <c r="HT181" s="8"/>
      <c r="HU181" s="8"/>
      <c r="HV181" s="8"/>
      <c r="HW181" s="8"/>
      <c r="HX181" s="8"/>
      <c r="HY181" s="8"/>
      <c r="HZ181" s="8"/>
      <c r="IA181" s="8"/>
      <c r="IB181" s="8"/>
      <c r="IC181" s="8"/>
      <c r="ID181" s="8"/>
    </row>
    <row r="182" spans="5:23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c r="FV182" s="8"/>
      <c r="FW182" s="8"/>
      <c r="FX182" s="8"/>
      <c r="FY182" s="8"/>
      <c r="FZ182" s="8"/>
      <c r="GA182" s="8"/>
      <c r="GB182" s="8"/>
      <c r="GC182" s="8"/>
      <c r="GD182" s="8"/>
      <c r="GE182" s="8"/>
      <c r="GF182" s="8"/>
      <c r="GG182" s="8"/>
      <c r="GH182" s="8"/>
      <c r="GI182" s="8"/>
      <c r="GJ182" s="8"/>
      <c r="GK182" s="8"/>
      <c r="GL182" s="8"/>
      <c r="GM182" s="8"/>
      <c r="GN182" s="8"/>
      <c r="GO182" s="8"/>
      <c r="GP182" s="8"/>
      <c r="GQ182" s="8"/>
      <c r="GR182" s="8"/>
      <c r="GS182" s="8"/>
      <c r="GT182" s="8"/>
      <c r="GU182" s="8"/>
      <c r="GV182" s="8"/>
      <c r="GW182" s="8"/>
      <c r="GX182" s="8"/>
      <c r="GY182" s="8"/>
      <c r="GZ182" s="8"/>
      <c r="HA182" s="8"/>
      <c r="HB182" s="8"/>
      <c r="HC182" s="8"/>
      <c r="HD182" s="8"/>
      <c r="HE182" s="8"/>
      <c r="HF182" s="8"/>
      <c r="HG182" s="8"/>
      <c r="HH182" s="8"/>
      <c r="HI182" s="8"/>
      <c r="HJ182" s="8"/>
      <c r="HK182" s="8"/>
      <c r="HL182" s="8"/>
      <c r="HM182" s="8"/>
      <c r="HN182" s="8"/>
      <c r="HO182" s="8"/>
      <c r="HP182" s="8"/>
      <c r="HQ182" s="8"/>
      <c r="HR182" s="8"/>
      <c r="HS182" s="8"/>
      <c r="HT182" s="8"/>
      <c r="HU182" s="8"/>
      <c r="HV182" s="8"/>
      <c r="HW182" s="8"/>
      <c r="HX182" s="8"/>
      <c r="HY182" s="8"/>
      <c r="HZ182" s="8"/>
      <c r="IA182" s="8"/>
      <c r="IB182" s="8"/>
      <c r="IC182" s="8"/>
      <c r="ID182" s="8"/>
    </row>
    <row r="183" spans="5:23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8"/>
      <c r="GC183" s="8"/>
      <c r="GD183" s="8"/>
      <c r="GE183" s="8"/>
      <c r="GF183" s="8"/>
      <c r="GG183" s="8"/>
      <c r="GH183" s="8"/>
      <c r="GI183" s="8"/>
      <c r="GJ183" s="8"/>
      <c r="GK183" s="8"/>
      <c r="GL183" s="8"/>
      <c r="GM183" s="8"/>
      <c r="GN183" s="8"/>
      <c r="GO183" s="8"/>
      <c r="GP183" s="8"/>
      <c r="GQ183" s="8"/>
      <c r="GR183" s="8"/>
      <c r="GS183" s="8"/>
      <c r="GT183" s="8"/>
      <c r="GU183" s="8"/>
      <c r="GV183" s="8"/>
      <c r="GW183" s="8"/>
      <c r="GX183" s="8"/>
      <c r="GY183" s="8"/>
      <c r="GZ183" s="8"/>
      <c r="HA183" s="8"/>
      <c r="HB183" s="8"/>
      <c r="HC183" s="8"/>
      <c r="HD183" s="8"/>
      <c r="HE183" s="8"/>
      <c r="HF183" s="8"/>
      <c r="HG183" s="8"/>
      <c r="HH183" s="8"/>
      <c r="HI183" s="8"/>
      <c r="HJ183" s="8"/>
      <c r="HK183" s="8"/>
      <c r="HL183" s="8"/>
      <c r="HM183" s="8"/>
      <c r="HN183" s="8"/>
      <c r="HO183" s="8"/>
      <c r="HP183" s="8"/>
      <c r="HQ183" s="8"/>
      <c r="HR183" s="8"/>
      <c r="HS183" s="8"/>
      <c r="HT183" s="8"/>
      <c r="HU183" s="8"/>
      <c r="HV183" s="8"/>
      <c r="HW183" s="8"/>
      <c r="HX183" s="8"/>
      <c r="HY183" s="8"/>
      <c r="HZ183" s="8"/>
      <c r="IA183" s="8"/>
      <c r="IB183" s="8"/>
      <c r="IC183" s="8"/>
      <c r="ID183" s="8"/>
    </row>
    <row r="184" spans="5:23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c r="GO184" s="8"/>
      <c r="GP184" s="8"/>
      <c r="GQ184" s="8"/>
      <c r="GR184" s="8"/>
      <c r="GS184" s="8"/>
      <c r="GT184" s="8"/>
      <c r="GU184" s="8"/>
      <c r="GV184" s="8"/>
      <c r="GW184" s="8"/>
      <c r="GX184" s="8"/>
      <c r="GY184" s="8"/>
      <c r="GZ184" s="8"/>
      <c r="HA184" s="8"/>
      <c r="HB184" s="8"/>
      <c r="HC184" s="8"/>
      <c r="HD184" s="8"/>
      <c r="HE184" s="8"/>
      <c r="HF184" s="8"/>
      <c r="HG184" s="8"/>
      <c r="HH184" s="8"/>
      <c r="HI184" s="8"/>
      <c r="HJ184" s="8"/>
      <c r="HK184" s="8"/>
      <c r="HL184" s="8"/>
      <c r="HM184" s="8"/>
      <c r="HN184" s="8"/>
      <c r="HO184" s="8"/>
      <c r="HP184" s="8"/>
      <c r="HQ184" s="8"/>
      <c r="HR184" s="8"/>
      <c r="HS184" s="8"/>
      <c r="HT184" s="8"/>
      <c r="HU184" s="8"/>
      <c r="HV184" s="8"/>
      <c r="HW184" s="8"/>
      <c r="HX184" s="8"/>
      <c r="HY184" s="8"/>
      <c r="HZ184" s="8"/>
      <c r="IA184" s="8"/>
      <c r="IB184" s="8"/>
      <c r="IC184" s="8"/>
      <c r="ID184" s="8"/>
    </row>
    <row r="185" spans="5:23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c r="GO185" s="8"/>
      <c r="GP185" s="8"/>
      <c r="GQ185" s="8"/>
      <c r="GR185" s="8"/>
      <c r="GS185" s="8"/>
      <c r="GT185" s="8"/>
      <c r="GU185" s="8"/>
      <c r="GV185" s="8"/>
      <c r="GW185" s="8"/>
      <c r="GX185" s="8"/>
      <c r="GY185" s="8"/>
      <c r="GZ185" s="8"/>
      <c r="HA185" s="8"/>
      <c r="HB185" s="8"/>
      <c r="HC185" s="8"/>
      <c r="HD185" s="8"/>
      <c r="HE185" s="8"/>
      <c r="HF185" s="8"/>
      <c r="HG185" s="8"/>
      <c r="HH185" s="8"/>
      <c r="HI185" s="8"/>
      <c r="HJ185" s="8"/>
      <c r="HK185" s="8"/>
      <c r="HL185" s="8"/>
      <c r="HM185" s="8"/>
      <c r="HN185" s="8"/>
      <c r="HO185" s="8"/>
      <c r="HP185" s="8"/>
      <c r="HQ185" s="8"/>
      <c r="HR185" s="8"/>
      <c r="HS185" s="8"/>
      <c r="HT185" s="8"/>
      <c r="HU185" s="8"/>
      <c r="HV185" s="8"/>
      <c r="HW185" s="8"/>
      <c r="HX185" s="8"/>
      <c r="HY185" s="8"/>
      <c r="HZ185" s="8"/>
      <c r="IA185" s="8"/>
      <c r="IB185" s="8"/>
      <c r="IC185" s="8"/>
      <c r="ID185" s="8"/>
    </row>
    <row r="186" spans="5:23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c r="GO186" s="8"/>
      <c r="GP186" s="8"/>
      <c r="GQ186" s="8"/>
      <c r="GR186" s="8"/>
      <c r="GS186" s="8"/>
      <c r="GT186" s="8"/>
      <c r="GU186" s="8"/>
      <c r="GV186" s="8"/>
      <c r="GW186" s="8"/>
      <c r="GX186" s="8"/>
      <c r="GY186" s="8"/>
      <c r="GZ186" s="8"/>
      <c r="HA186" s="8"/>
      <c r="HB186" s="8"/>
      <c r="HC186" s="8"/>
      <c r="HD186" s="8"/>
      <c r="HE186" s="8"/>
      <c r="HF186" s="8"/>
      <c r="HG186" s="8"/>
      <c r="HH186" s="8"/>
      <c r="HI186" s="8"/>
      <c r="HJ186" s="8"/>
      <c r="HK186" s="8"/>
      <c r="HL186" s="8"/>
      <c r="HM186" s="8"/>
      <c r="HN186" s="8"/>
      <c r="HO186" s="8"/>
      <c r="HP186" s="8"/>
      <c r="HQ186" s="8"/>
      <c r="HR186" s="8"/>
      <c r="HS186" s="8"/>
      <c r="HT186" s="8"/>
      <c r="HU186" s="8"/>
      <c r="HV186" s="8"/>
      <c r="HW186" s="8"/>
      <c r="HX186" s="8"/>
      <c r="HY186" s="8"/>
      <c r="HZ186" s="8"/>
      <c r="IA186" s="8"/>
      <c r="IB186" s="8"/>
      <c r="IC186" s="8"/>
      <c r="ID186" s="8"/>
    </row>
    <row r="187" spans="5:23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c r="GO187" s="8"/>
      <c r="GP187" s="8"/>
      <c r="GQ187" s="8"/>
      <c r="GR187" s="8"/>
      <c r="GS187" s="8"/>
      <c r="GT187" s="8"/>
      <c r="GU187" s="8"/>
      <c r="GV187" s="8"/>
      <c r="GW187" s="8"/>
      <c r="GX187" s="8"/>
      <c r="GY187" s="8"/>
      <c r="GZ187" s="8"/>
      <c r="HA187" s="8"/>
      <c r="HB187" s="8"/>
      <c r="HC187" s="8"/>
      <c r="HD187" s="8"/>
      <c r="HE187" s="8"/>
      <c r="HF187" s="8"/>
      <c r="HG187" s="8"/>
      <c r="HH187" s="8"/>
      <c r="HI187" s="8"/>
      <c r="HJ187" s="8"/>
      <c r="HK187" s="8"/>
      <c r="HL187" s="8"/>
      <c r="HM187" s="8"/>
      <c r="HN187" s="8"/>
      <c r="HO187" s="8"/>
      <c r="HP187" s="8"/>
      <c r="HQ187" s="8"/>
      <c r="HR187" s="8"/>
      <c r="HS187" s="8"/>
      <c r="HT187" s="8"/>
      <c r="HU187" s="8"/>
      <c r="HV187" s="8"/>
      <c r="HW187" s="8"/>
      <c r="HX187" s="8"/>
      <c r="HY187" s="8"/>
      <c r="HZ187" s="8"/>
      <c r="IA187" s="8"/>
      <c r="IB187" s="8"/>
      <c r="IC187" s="8"/>
      <c r="ID187" s="8"/>
    </row>
    <row r="188" spans="5:23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c r="FO188" s="8"/>
      <c r="FP188" s="8"/>
      <c r="FQ188" s="8"/>
      <c r="FR188" s="8"/>
      <c r="FS188" s="8"/>
      <c r="FT188" s="8"/>
      <c r="FU188" s="8"/>
      <c r="FV188" s="8"/>
      <c r="FW188" s="8"/>
      <c r="FX188" s="8"/>
      <c r="FY188" s="8"/>
      <c r="FZ188" s="8"/>
      <c r="GA188" s="8"/>
      <c r="GB188" s="8"/>
      <c r="GC188" s="8"/>
      <c r="GD188" s="8"/>
      <c r="GE188" s="8"/>
      <c r="GF188" s="8"/>
      <c r="GG188" s="8"/>
      <c r="GH188" s="8"/>
      <c r="GI188" s="8"/>
      <c r="GJ188" s="8"/>
      <c r="GK188" s="8"/>
      <c r="GL188" s="8"/>
      <c r="GM188" s="8"/>
      <c r="GN188" s="8"/>
      <c r="GO188" s="8"/>
      <c r="GP188" s="8"/>
      <c r="GQ188" s="8"/>
      <c r="GR188" s="8"/>
      <c r="GS188" s="8"/>
      <c r="GT188" s="8"/>
      <c r="GU188" s="8"/>
      <c r="GV188" s="8"/>
      <c r="GW188" s="8"/>
      <c r="GX188" s="8"/>
      <c r="GY188" s="8"/>
      <c r="GZ188" s="8"/>
      <c r="HA188" s="8"/>
      <c r="HB188" s="8"/>
      <c r="HC188" s="8"/>
      <c r="HD188" s="8"/>
      <c r="HE188" s="8"/>
      <c r="HF188" s="8"/>
      <c r="HG188" s="8"/>
      <c r="HH188" s="8"/>
      <c r="HI188" s="8"/>
      <c r="HJ188" s="8"/>
      <c r="HK188" s="8"/>
      <c r="HL188" s="8"/>
      <c r="HM188" s="8"/>
      <c r="HN188" s="8"/>
      <c r="HO188" s="8"/>
      <c r="HP188" s="8"/>
      <c r="HQ188" s="8"/>
      <c r="HR188" s="8"/>
      <c r="HS188" s="8"/>
      <c r="HT188" s="8"/>
      <c r="HU188" s="8"/>
      <c r="HV188" s="8"/>
      <c r="HW188" s="8"/>
      <c r="HX188" s="8"/>
      <c r="HY188" s="8"/>
      <c r="HZ188" s="8"/>
      <c r="IA188" s="8"/>
      <c r="IB188" s="8"/>
      <c r="IC188" s="8"/>
      <c r="ID188" s="8"/>
    </row>
    <row r="189" spans="5:23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c r="GO189" s="8"/>
      <c r="GP189" s="8"/>
      <c r="GQ189" s="8"/>
      <c r="GR189" s="8"/>
      <c r="GS189" s="8"/>
      <c r="GT189" s="8"/>
      <c r="GU189" s="8"/>
      <c r="GV189" s="8"/>
      <c r="GW189" s="8"/>
      <c r="GX189" s="8"/>
      <c r="GY189" s="8"/>
      <c r="GZ189" s="8"/>
      <c r="HA189" s="8"/>
      <c r="HB189" s="8"/>
      <c r="HC189" s="8"/>
      <c r="HD189" s="8"/>
      <c r="HE189" s="8"/>
      <c r="HF189" s="8"/>
      <c r="HG189" s="8"/>
      <c r="HH189" s="8"/>
      <c r="HI189" s="8"/>
      <c r="HJ189" s="8"/>
      <c r="HK189" s="8"/>
      <c r="HL189" s="8"/>
      <c r="HM189" s="8"/>
      <c r="HN189" s="8"/>
      <c r="HO189" s="8"/>
      <c r="HP189" s="8"/>
      <c r="HQ189" s="8"/>
      <c r="HR189" s="8"/>
      <c r="HS189" s="8"/>
      <c r="HT189" s="8"/>
      <c r="HU189" s="8"/>
      <c r="HV189" s="8"/>
      <c r="HW189" s="8"/>
      <c r="HX189" s="8"/>
      <c r="HY189" s="8"/>
      <c r="HZ189" s="8"/>
      <c r="IA189" s="8"/>
      <c r="IB189" s="8"/>
      <c r="IC189" s="8"/>
      <c r="ID189" s="8"/>
    </row>
    <row r="190" spans="5:23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c r="GO190" s="8"/>
      <c r="GP190" s="8"/>
      <c r="GQ190" s="8"/>
      <c r="GR190" s="8"/>
      <c r="GS190" s="8"/>
      <c r="GT190" s="8"/>
      <c r="GU190" s="8"/>
      <c r="GV190" s="8"/>
      <c r="GW190" s="8"/>
      <c r="GX190" s="8"/>
      <c r="GY190" s="8"/>
      <c r="GZ190" s="8"/>
      <c r="HA190" s="8"/>
      <c r="HB190" s="8"/>
      <c r="HC190" s="8"/>
      <c r="HD190" s="8"/>
      <c r="HE190" s="8"/>
      <c r="HF190" s="8"/>
      <c r="HG190" s="8"/>
      <c r="HH190" s="8"/>
      <c r="HI190" s="8"/>
      <c r="HJ190" s="8"/>
      <c r="HK190" s="8"/>
      <c r="HL190" s="8"/>
      <c r="HM190" s="8"/>
      <c r="HN190" s="8"/>
      <c r="HO190" s="8"/>
      <c r="HP190" s="8"/>
      <c r="HQ190" s="8"/>
      <c r="HR190" s="8"/>
      <c r="HS190" s="8"/>
      <c r="HT190" s="8"/>
      <c r="HU190" s="8"/>
      <c r="HV190" s="8"/>
      <c r="HW190" s="8"/>
      <c r="HX190" s="8"/>
      <c r="HY190" s="8"/>
      <c r="HZ190" s="8"/>
      <c r="IA190" s="8"/>
      <c r="IB190" s="8"/>
      <c r="IC190" s="8"/>
      <c r="ID190" s="8"/>
    </row>
    <row r="191" spans="5:23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c r="FV191" s="8"/>
      <c r="FW191" s="8"/>
      <c r="FX191" s="8"/>
      <c r="FY191" s="8"/>
      <c r="FZ191" s="8"/>
      <c r="GA191" s="8"/>
      <c r="GB191" s="8"/>
      <c r="GC191" s="8"/>
      <c r="GD191" s="8"/>
      <c r="GE191" s="8"/>
      <c r="GF191" s="8"/>
      <c r="GG191" s="8"/>
      <c r="GH191" s="8"/>
      <c r="GI191" s="8"/>
      <c r="GJ191" s="8"/>
      <c r="GK191" s="8"/>
      <c r="GL191" s="8"/>
      <c r="GM191" s="8"/>
      <c r="GN191" s="8"/>
      <c r="GO191" s="8"/>
      <c r="GP191" s="8"/>
      <c r="GQ191" s="8"/>
      <c r="GR191" s="8"/>
      <c r="GS191" s="8"/>
      <c r="GT191" s="8"/>
      <c r="GU191" s="8"/>
      <c r="GV191" s="8"/>
      <c r="GW191" s="8"/>
      <c r="GX191" s="8"/>
      <c r="GY191" s="8"/>
      <c r="GZ191" s="8"/>
      <c r="HA191" s="8"/>
      <c r="HB191" s="8"/>
      <c r="HC191" s="8"/>
      <c r="HD191" s="8"/>
      <c r="HE191" s="8"/>
      <c r="HF191" s="8"/>
      <c r="HG191" s="8"/>
      <c r="HH191" s="8"/>
      <c r="HI191" s="8"/>
      <c r="HJ191" s="8"/>
      <c r="HK191" s="8"/>
      <c r="HL191" s="8"/>
      <c r="HM191" s="8"/>
      <c r="HN191" s="8"/>
      <c r="HO191" s="8"/>
      <c r="HP191" s="8"/>
      <c r="HQ191" s="8"/>
      <c r="HR191" s="8"/>
      <c r="HS191" s="8"/>
      <c r="HT191" s="8"/>
      <c r="HU191" s="8"/>
      <c r="HV191" s="8"/>
      <c r="HW191" s="8"/>
      <c r="HX191" s="8"/>
      <c r="HY191" s="8"/>
      <c r="HZ191" s="8"/>
      <c r="IA191" s="8"/>
      <c r="IB191" s="8"/>
      <c r="IC191" s="8"/>
      <c r="ID191" s="8"/>
    </row>
    <row r="192" spans="5:23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8"/>
      <c r="HH192" s="8"/>
      <c r="HI192" s="8"/>
      <c r="HJ192" s="8"/>
      <c r="HK192" s="8"/>
      <c r="HL192" s="8"/>
      <c r="HM192" s="8"/>
      <c r="HN192" s="8"/>
      <c r="HO192" s="8"/>
      <c r="HP192" s="8"/>
      <c r="HQ192" s="8"/>
      <c r="HR192" s="8"/>
      <c r="HS192" s="8"/>
      <c r="HT192" s="8"/>
      <c r="HU192" s="8"/>
      <c r="HV192" s="8"/>
      <c r="HW192" s="8"/>
      <c r="HX192" s="8"/>
      <c r="HY192" s="8"/>
      <c r="HZ192" s="8"/>
      <c r="IA192" s="8"/>
      <c r="IB192" s="8"/>
      <c r="IC192" s="8"/>
      <c r="ID192" s="8"/>
    </row>
    <row r="193" spans="5:23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c r="FO193" s="8"/>
      <c r="FP193" s="8"/>
      <c r="FQ193" s="8"/>
      <c r="FR193" s="8"/>
      <c r="FS193" s="8"/>
      <c r="FT193" s="8"/>
      <c r="FU193" s="8"/>
      <c r="FV193" s="8"/>
      <c r="FW193" s="8"/>
      <c r="FX193" s="8"/>
      <c r="FY193" s="8"/>
      <c r="FZ193" s="8"/>
      <c r="GA193" s="8"/>
      <c r="GB193" s="8"/>
      <c r="GC193" s="8"/>
      <c r="GD193" s="8"/>
      <c r="GE193" s="8"/>
      <c r="GF193" s="8"/>
      <c r="GG193" s="8"/>
      <c r="GH193" s="8"/>
      <c r="GI193" s="8"/>
      <c r="GJ193" s="8"/>
      <c r="GK193" s="8"/>
      <c r="GL193" s="8"/>
      <c r="GM193" s="8"/>
      <c r="GN193" s="8"/>
      <c r="GO193" s="8"/>
      <c r="GP193" s="8"/>
      <c r="GQ193" s="8"/>
      <c r="GR193" s="8"/>
      <c r="GS193" s="8"/>
      <c r="GT193" s="8"/>
      <c r="GU193" s="8"/>
      <c r="GV193" s="8"/>
      <c r="GW193" s="8"/>
      <c r="GX193" s="8"/>
      <c r="GY193" s="8"/>
      <c r="GZ193" s="8"/>
      <c r="HA193" s="8"/>
      <c r="HB193" s="8"/>
      <c r="HC193" s="8"/>
      <c r="HD193" s="8"/>
      <c r="HE193" s="8"/>
      <c r="HF193" s="8"/>
      <c r="HG193" s="8"/>
      <c r="HH193" s="8"/>
      <c r="HI193" s="8"/>
      <c r="HJ193" s="8"/>
      <c r="HK193" s="8"/>
      <c r="HL193" s="8"/>
      <c r="HM193" s="8"/>
      <c r="HN193" s="8"/>
      <c r="HO193" s="8"/>
      <c r="HP193" s="8"/>
      <c r="HQ193" s="8"/>
      <c r="HR193" s="8"/>
      <c r="HS193" s="8"/>
      <c r="HT193" s="8"/>
      <c r="HU193" s="8"/>
      <c r="HV193" s="8"/>
      <c r="HW193" s="8"/>
      <c r="HX193" s="8"/>
      <c r="HY193" s="8"/>
      <c r="HZ193" s="8"/>
      <c r="IA193" s="8"/>
      <c r="IB193" s="8"/>
      <c r="IC193" s="8"/>
      <c r="ID193" s="8"/>
    </row>
    <row r="194" spans="5:23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c r="GO194" s="8"/>
      <c r="GP194" s="8"/>
      <c r="GQ194" s="8"/>
      <c r="GR194" s="8"/>
      <c r="GS194" s="8"/>
      <c r="GT194" s="8"/>
      <c r="GU194" s="8"/>
      <c r="GV194" s="8"/>
      <c r="GW194" s="8"/>
      <c r="GX194" s="8"/>
      <c r="GY194" s="8"/>
      <c r="GZ194" s="8"/>
      <c r="HA194" s="8"/>
      <c r="HB194" s="8"/>
      <c r="HC194" s="8"/>
      <c r="HD194" s="8"/>
      <c r="HE194" s="8"/>
      <c r="HF194" s="8"/>
      <c r="HG194" s="8"/>
      <c r="HH194" s="8"/>
      <c r="HI194" s="8"/>
      <c r="HJ194" s="8"/>
      <c r="HK194" s="8"/>
      <c r="HL194" s="8"/>
      <c r="HM194" s="8"/>
      <c r="HN194" s="8"/>
      <c r="HO194" s="8"/>
      <c r="HP194" s="8"/>
      <c r="HQ194" s="8"/>
      <c r="HR194" s="8"/>
      <c r="HS194" s="8"/>
      <c r="HT194" s="8"/>
      <c r="HU194" s="8"/>
      <c r="HV194" s="8"/>
      <c r="HW194" s="8"/>
      <c r="HX194" s="8"/>
      <c r="HY194" s="8"/>
      <c r="HZ194" s="8"/>
      <c r="IA194" s="8"/>
      <c r="IB194" s="8"/>
      <c r="IC194" s="8"/>
      <c r="ID194" s="8"/>
    </row>
    <row r="195" spans="5:23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c r="FT195" s="8"/>
      <c r="FU195" s="8"/>
      <c r="FV195" s="8"/>
      <c r="FW195" s="8"/>
      <c r="FX195" s="8"/>
      <c r="FY195" s="8"/>
      <c r="FZ195" s="8"/>
      <c r="GA195" s="8"/>
      <c r="GB195" s="8"/>
      <c r="GC195" s="8"/>
      <c r="GD195" s="8"/>
      <c r="GE195" s="8"/>
      <c r="GF195" s="8"/>
      <c r="GG195" s="8"/>
      <c r="GH195" s="8"/>
      <c r="GI195" s="8"/>
      <c r="GJ195" s="8"/>
      <c r="GK195" s="8"/>
      <c r="GL195" s="8"/>
      <c r="GM195" s="8"/>
      <c r="GN195" s="8"/>
      <c r="GO195" s="8"/>
      <c r="GP195" s="8"/>
      <c r="GQ195" s="8"/>
      <c r="GR195" s="8"/>
      <c r="GS195" s="8"/>
      <c r="GT195" s="8"/>
      <c r="GU195" s="8"/>
      <c r="GV195" s="8"/>
      <c r="GW195" s="8"/>
      <c r="GX195" s="8"/>
      <c r="GY195" s="8"/>
      <c r="GZ195" s="8"/>
      <c r="HA195" s="8"/>
      <c r="HB195" s="8"/>
      <c r="HC195" s="8"/>
      <c r="HD195" s="8"/>
      <c r="HE195" s="8"/>
      <c r="HF195" s="8"/>
      <c r="HG195" s="8"/>
      <c r="HH195" s="8"/>
      <c r="HI195" s="8"/>
      <c r="HJ195" s="8"/>
      <c r="HK195" s="8"/>
      <c r="HL195" s="8"/>
      <c r="HM195" s="8"/>
      <c r="HN195" s="8"/>
      <c r="HO195" s="8"/>
      <c r="HP195" s="8"/>
      <c r="HQ195" s="8"/>
      <c r="HR195" s="8"/>
      <c r="HS195" s="8"/>
      <c r="HT195" s="8"/>
      <c r="HU195" s="8"/>
      <c r="HV195" s="8"/>
      <c r="HW195" s="8"/>
      <c r="HX195" s="8"/>
      <c r="HY195" s="8"/>
      <c r="HZ195" s="8"/>
      <c r="IA195" s="8"/>
      <c r="IB195" s="8"/>
      <c r="IC195" s="8"/>
      <c r="ID195" s="8"/>
    </row>
    <row r="196" spans="5:23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8"/>
      <c r="HI196" s="8"/>
      <c r="HJ196" s="8"/>
      <c r="HK196" s="8"/>
      <c r="HL196" s="8"/>
      <c r="HM196" s="8"/>
      <c r="HN196" s="8"/>
      <c r="HO196" s="8"/>
      <c r="HP196" s="8"/>
      <c r="HQ196" s="8"/>
      <c r="HR196" s="8"/>
      <c r="HS196" s="8"/>
      <c r="HT196" s="8"/>
      <c r="HU196" s="8"/>
      <c r="HV196" s="8"/>
      <c r="HW196" s="8"/>
      <c r="HX196" s="8"/>
      <c r="HY196" s="8"/>
      <c r="HZ196" s="8"/>
      <c r="IA196" s="8"/>
      <c r="IB196" s="8"/>
      <c r="IC196" s="8"/>
      <c r="ID196" s="8"/>
    </row>
    <row r="197" spans="5:23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8"/>
      <c r="GC197" s="8"/>
      <c r="GD197" s="8"/>
      <c r="GE197" s="8"/>
      <c r="GF197" s="8"/>
      <c r="GG197" s="8"/>
      <c r="GH197" s="8"/>
      <c r="GI197" s="8"/>
      <c r="GJ197" s="8"/>
      <c r="GK197" s="8"/>
      <c r="GL197" s="8"/>
      <c r="GM197" s="8"/>
      <c r="GN197" s="8"/>
      <c r="GO197" s="8"/>
      <c r="GP197" s="8"/>
      <c r="GQ197" s="8"/>
      <c r="GR197" s="8"/>
      <c r="GS197" s="8"/>
      <c r="GT197" s="8"/>
      <c r="GU197" s="8"/>
      <c r="GV197" s="8"/>
      <c r="GW197" s="8"/>
      <c r="GX197" s="8"/>
      <c r="GY197" s="8"/>
      <c r="GZ197" s="8"/>
      <c r="HA197" s="8"/>
      <c r="HB197" s="8"/>
      <c r="HC197" s="8"/>
      <c r="HD197" s="8"/>
      <c r="HE197" s="8"/>
      <c r="HF197" s="8"/>
      <c r="HG197" s="8"/>
      <c r="HH197" s="8"/>
      <c r="HI197" s="8"/>
      <c r="HJ197" s="8"/>
      <c r="HK197" s="8"/>
      <c r="HL197" s="8"/>
      <c r="HM197" s="8"/>
      <c r="HN197" s="8"/>
      <c r="HO197" s="8"/>
      <c r="HP197" s="8"/>
      <c r="HQ197" s="8"/>
      <c r="HR197" s="8"/>
      <c r="HS197" s="8"/>
      <c r="HT197" s="8"/>
      <c r="HU197" s="8"/>
      <c r="HV197" s="8"/>
      <c r="HW197" s="8"/>
      <c r="HX197" s="8"/>
      <c r="HY197" s="8"/>
      <c r="HZ197" s="8"/>
      <c r="IA197" s="8"/>
      <c r="IB197" s="8"/>
      <c r="IC197" s="8"/>
      <c r="ID197" s="8"/>
    </row>
    <row r="198" spans="5:23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8"/>
      <c r="GC198" s="8"/>
      <c r="GD198" s="8"/>
      <c r="GE198" s="8"/>
      <c r="GF198" s="8"/>
      <c r="GG198" s="8"/>
      <c r="GH198" s="8"/>
      <c r="GI198" s="8"/>
      <c r="GJ198" s="8"/>
      <c r="GK198" s="8"/>
      <c r="GL198" s="8"/>
      <c r="GM198" s="8"/>
      <c r="GN198" s="8"/>
      <c r="GO198" s="8"/>
      <c r="GP198" s="8"/>
      <c r="GQ198" s="8"/>
      <c r="GR198" s="8"/>
      <c r="GS198" s="8"/>
      <c r="GT198" s="8"/>
      <c r="GU198" s="8"/>
      <c r="GV198" s="8"/>
      <c r="GW198" s="8"/>
      <c r="GX198" s="8"/>
      <c r="GY198" s="8"/>
      <c r="GZ198" s="8"/>
      <c r="HA198" s="8"/>
      <c r="HB198" s="8"/>
      <c r="HC198" s="8"/>
      <c r="HD198" s="8"/>
      <c r="HE198" s="8"/>
      <c r="HF198" s="8"/>
      <c r="HG198" s="8"/>
      <c r="HH198" s="8"/>
      <c r="HI198" s="8"/>
      <c r="HJ198" s="8"/>
      <c r="HK198" s="8"/>
      <c r="HL198" s="8"/>
      <c r="HM198" s="8"/>
      <c r="HN198" s="8"/>
      <c r="HO198" s="8"/>
      <c r="HP198" s="8"/>
      <c r="HQ198" s="8"/>
      <c r="HR198" s="8"/>
      <c r="HS198" s="8"/>
      <c r="HT198" s="8"/>
      <c r="HU198" s="8"/>
      <c r="HV198" s="8"/>
      <c r="HW198" s="8"/>
      <c r="HX198" s="8"/>
      <c r="HY198" s="8"/>
      <c r="HZ198" s="8"/>
      <c r="IA198" s="8"/>
      <c r="IB198" s="8"/>
      <c r="IC198" s="8"/>
      <c r="ID198" s="8"/>
    </row>
    <row r="199" spans="5:23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c r="GO199" s="8"/>
      <c r="GP199" s="8"/>
      <c r="GQ199" s="8"/>
      <c r="GR199" s="8"/>
      <c r="GS199" s="8"/>
      <c r="GT199" s="8"/>
      <c r="GU199" s="8"/>
      <c r="GV199" s="8"/>
      <c r="GW199" s="8"/>
      <c r="GX199" s="8"/>
      <c r="GY199" s="8"/>
      <c r="GZ199" s="8"/>
      <c r="HA199" s="8"/>
      <c r="HB199" s="8"/>
      <c r="HC199" s="8"/>
      <c r="HD199" s="8"/>
      <c r="HE199" s="8"/>
      <c r="HF199" s="8"/>
      <c r="HG199" s="8"/>
      <c r="HH199" s="8"/>
      <c r="HI199" s="8"/>
      <c r="HJ199" s="8"/>
      <c r="HK199" s="8"/>
      <c r="HL199" s="8"/>
      <c r="HM199" s="8"/>
      <c r="HN199" s="8"/>
      <c r="HO199" s="8"/>
      <c r="HP199" s="8"/>
      <c r="HQ199" s="8"/>
      <c r="HR199" s="8"/>
      <c r="HS199" s="8"/>
      <c r="HT199" s="8"/>
      <c r="HU199" s="8"/>
      <c r="HV199" s="8"/>
      <c r="HW199" s="8"/>
      <c r="HX199" s="8"/>
      <c r="HY199" s="8"/>
      <c r="HZ199" s="8"/>
      <c r="IA199" s="8"/>
      <c r="IB199" s="8"/>
      <c r="IC199" s="8"/>
      <c r="ID199" s="8"/>
    </row>
    <row r="200" spans="5:23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c r="FT200" s="8"/>
      <c r="FU200" s="8"/>
      <c r="FV200" s="8"/>
      <c r="FW200" s="8"/>
      <c r="FX200" s="8"/>
      <c r="FY200" s="8"/>
      <c r="FZ200" s="8"/>
      <c r="GA200" s="8"/>
      <c r="GB200" s="8"/>
      <c r="GC200" s="8"/>
      <c r="GD200" s="8"/>
      <c r="GE200" s="8"/>
      <c r="GF200" s="8"/>
      <c r="GG200" s="8"/>
      <c r="GH200" s="8"/>
      <c r="GI200" s="8"/>
      <c r="GJ200" s="8"/>
      <c r="GK200" s="8"/>
      <c r="GL200" s="8"/>
      <c r="GM200" s="8"/>
      <c r="GN200" s="8"/>
      <c r="GO200" s="8"/>
      <c r="GP200" s="8"/>
      <c r="GQ200" s="8"/>
      <c r="GR200" s="8"/>
      <c r="GS200" s="8"/>
      <c r="GT200" s="8"/>
      <c r="GU200" s="8"/>
      <c r="GV200" s="8"/>
      <c r="GW200" s="8"/>
      <c r="GX200" s="8"/>
      <c r="GY200" s="8"/>
      <c r="GZ200" s="8"/>
      <c r="HA200" s="8"/>
      <c r="HB200" s="8"/>
      <c r="HC200" s="8"/>
      <c r="HD200" s="8"/>
      <c r="HE200" s="8"/>
      <c r="HF200" s="8"/>
      <c r="HG200" s="8"/>
      <c r="HH200" s="8"/>
      <c r="HI200" s="8"/>
      <c r="HJ200" s="8"/>
      <c r="HK200" s="8"/>
      <c r="HL200" s="8"/>
      <c r="HM200" s="8"/>
      <c r="HN200" s="8"/>
      <c r="HO200" s="8"/>
      <c r="HP200" s="8"/>
      <c r="HQ200" s="8"/>
      <c r="HR200" s="8"/>
      <c r="HS200" s="8"/>
      <c r="HT200" s="8"/>
      <c r="HU200" s="8"/>
      <c r="HV200" s="8"/>
      <c r="HW200" s="8"/>
      <c r="HX200" s="8"/>
      <c r="HY200" s="8"/>
      <c r="HZ200" s="8"/>
      <c r="IA200" s="8"/>
      <c r="IB200" s="8"/>
      <c r="IC200" s="8"/>
      <c r="ID200" s="8"/>
    </row>
    <row r="201" spans="5:23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8"/>
      <c r="GC201" s="8"/>
      <c r="GD201" s="8"/>
      <c r="GE201" s="8"/>
      <c r="GF201" s="8"/>
      <c r="GG201" s="8"/>
      <c r="GH201" s="8"/>
      <c r="GI201" s="8"/>
      <c r="GJ201" s="8"/>
      <c r="GK201" s="8"/>
      <c r="GL201" s="8"/>
      <c r="GM201" s="8"/>
      <c r="GN201" s="8"/>
      <c r="GO201" s="8"/>
      <c r="GP201" s="8"/>
      <c r="GQ201" s="8"/>
      <c r="GR201" s="8"/>
      <c r="GS201" s="8"/>
      <c r="GT201" s="8"/>
      <c r="GU201" s="8"/>
      <c r="GV201" s="8"/>
      <c r="GW201" s="8"/>
      <c r="GX201" s="8"/>
      <c r="GY201" s="8"/>
      <c r="GZ201" s="8"/>
      <c r="HA201" s="8"/>
      <c r="HB201" s="8"/>
      <c r="HC201" s="8"/>
      <c r="HD201" s="8"/>
      <c r="HE201" s="8"/>
      <c r="HF201" s="8"/>
      <c r="HG201" s="8"/>
      <c r="HH201" s="8"/>
      <c r="HI201" s="8"/>
      <c r="HJ201" s="8"/>
      <c r="HK201" s="8"/>
      <c r="HL201" s="8"/>
      <c r="HM201" s="8"/>
      <c r="HN201" s="8"/>
      <c r="HO201" s="8"/>
      <c r="HP201" s="8"/>
      <c r="HQ201" s="8"/>
      <c r="HR201" s="8"/>
      <c r="HS201" s="8"/>
      <c r="HT201" s="8"/>
      <c r="HU201" s="8"/>
      <c r="HV201" s="8"/>
      <c r="HW201" s="8"/>
      <c r="HX201" s="8"/>
      <c r="HY201" s="8"/>
      <c r="HZ201" s="8"/>
      <c r="IA201" s="8"/>
      <c r="IB201" s="8"/>
      <c r="IC201" s="8"/>
      <c r="ID201" s="8"/>
    </row>
    <row r="202" spans="5:23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c r="GO202" s="8"/>
      <c r="GP202" s="8"/>
      <c r="GQ202" s="8"/>
      <c r="GR202" s="8"/>
      <c r="GS202" s="8"/>
      <c r="GT202" s="8"/>
      <c r="GU202" s="8"/>
      <c r="GV202" s="8"/>
      <c r="GW202" s="8"/>
      <c r="GX202" s="8"/>
      <c r="GY202" s="8"/>
      <c r="GZ202" s="8"/>
      <c r="HA202" s="8"/>
      <c r="HB202" s="8"/>
      <c r="HC202" s="8"/>
      <c r="HD202" s="8"/>
      <c r="HE202" s="8"/>
      <c r="HF202" s="8"/>
      <c r="HG202" s="8"/>
      <c r="HH202" s="8"/>
      <c r="HI202" s="8"/>
      <c r="HJ202" s="8"/>
      <c r="HK202" s="8"/>
      <c r="HL202" s="8"/>
      <c r="HM202" s="8"/>
      <c r="HN202" s="8"/>
      <c r="HO202" s="8"/>
      <c r="HP202" s="8"/>
      <c r="HQ202" s="8"/>
      <c r="HR202" s="8"/>
      <c r="HS202" s="8"/>
      <c r="HT202" s="8"/>
      <c r="HU202" s="8"/>
      <c r="HV202" s="8"/>
      <c r="HW202" s="8"/>
      <c r="HX202" s="8"/>
      <c r="HY202" s="8"/>
      <c r="HZ202" s="8"/>
      <c r="IA202" s="8"/>
      <c r="IB202" s="8"/>
      <c r="IC202" s="8"/>
      <c r="ID202" s="8"/>
    </row>
    <row r="203" spans="5:23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8"/>
      <c r="GL203" s="8"/>
      <c r="GM203" s="8"/>
      <c r="GN203" s="8"/>
      <c r="GO203" s="8"/>
      <c r="GP203" s="8"/>
      <c r="GQ203" s="8"/>
      <c r="GR203" s="8"/>
      <c r="GS203" s="8"/>
      <c r="GT203" s="8"/>
      <c r="GU203" s="8"/>
      <c r="GV203" s="8"/>
      <c r="GW203" s="8"/>
      <c r="GX203" s="8"/>
      <c r="GY203" s="8"/>
      <c r="GZ203" s="8"/>
      <c r="HA203" s="8"/>
      <c r="HB203" s="8"/>
      <c r="HC203" s="8"/>
      <c r="HD203" s="8"/>
      <c r="HE203" s="8"/>
      <c r="HF203" s="8"/>
      <c r="HG203" s="8"/>
      <c r="HH203" s="8"/>
      <c r="HI203" s="8"/>
      <c r="HJ203" s="8"/>
      <c r="HK203" s="8"/>
      <c r="HL203" s="8"/>
      <c r="HM203" s="8"/>
      <c r="HN203" s="8"/>
      <c r="HO203" s="8"/>
      <c r="HP203" s="8"/>
      <c r="HQ203" s="8"/>
      <c r="HR203" s="8"/>
      <c r="HS203" s="8"/>
      <c r="HT203" s="8"/>
      <c r="HU203" s="8"/>
      <c r="HV203" s="8"/>
      <c r="HW203" s="8"/>
      <c r="HX203" s="8"/>
      <c r="HY203" s="8"/>
      <c r="HZ203" s="8"/>
      <c r="IA203" s="8"/>
      <c r="IB203" s="8"/>
      <c r="IC203" s="8"/>
      <c r="ID203" s="8"/>
    </row>
    <row r="204" spans="5:23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8"/>
      <c r="GL204" s="8"/>
      <c r="GM204" s="8"/>
      <c r="GN204" s="8"/>
      <c r="GO204" s="8"/>
      <c r="GP204" s="8"/>
      <c r="GQ204" s="8"/>
      <c r="GR204" s="8"/>
      <c r="GS204" s="8"/>
      <c r="GT204" s="8"/>
      <c r="GU204" s="8"/>
      <c r="GV204" s="8"/>
      <c r="GW204" s="8"/>
      <c r="GX204" s="8"/>
      <c r="GY204" s="8"/>
      <c r="GZ204" s="8"/>
      <c r="HA204" s="8"/>
      <c r="HB204" s="8"/>
      <c r="HC204" s="8"/>
      <c r="HD204" s="8"/>
      <c r="HE204" s="8"/>
      <c r="HF204" s="8"/>
      <c r="HG204" s="8"/>
      <c r="HH204" s="8"/>
      <c r="HI204" s="8"/>
      <c r="HJ204" s="8"/>
      <c r="HK204" s="8"/>
      <c r="HL204" s="8"/>
      <c r="HM204" s="8"/>
      <c r="HN204" s="8"/>
      <c r="HO204" s="8"/>
      <c r="HP204" s="8"/>
      <c r="HQ204" s="8"/>
      <c r="HR204" s="8"/>
      <c r="HS204" s="8"/>
      <c r="HT204" s="8"/>
      <c r="HU204" s="8"/>
      <c r="HV204" s="8"/>
      <c r="HW204" s="8"/>
      <c r="HX204" s="8"/>
      <c r="HY204" s="8"/>
      <c r="HZ204" s="8"/>
      <c r="IA204" s="8"/>
      <c r="IB204" s="8"/>
      <c r="IC204" s="8"/>
      <c r="ID204" s="8"/>
    </row>
    <row r="205" spans="5:23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c r="FJ205" s="8"/>
      <c r="FK205" s="8"/>
      <c r="FL205" s="8"/>
      <c r="FM205" s="8"/>
      <c r="FN205" s="8"/>
      <c r="FO205" s="8"/>
      <c r="FP205" s="8"/>
      <c r="FQ205" s="8"/>
      <c r="FR205" s="8"/>
      <c r="FS205" s="8"/>
      <c r="FT205" s="8"/>
      <c r="FU205" s="8"/>
      <c r="FV205" s="8"/>
      <c r="FW205" s="8"/>
      <c r="FX205" s="8"/>
      <c r="FY205" s="8"/>
      <c r="FZ205" s="8"/>
      <c r="GA205" s="8"/>
      <c r="GB205" s="8"/>
      <c r="GC205" s="8"/>
      <c r="GD205" s="8"/>
      <c r="GE205" s="8"/>
      <c r="GF205" s="8"/>
      <c r="GG205" s="8"/>
      <c r="GH205" s="8"/>
      <c r="GI205" s="8"/>
      <c r="GJ205" s="8"/>
      <c r="GK205" s="8"/>
      <c r="GL205" s="8"/>
      <c r="GM205" s="8"/>
      <c r="GN205" s="8"/>
      <c r="GO205" s="8"/>
      <c r="GP205" s="8"/>
      <c r="GQ205" s="8"/>
      <c r="GR205" s="8"/>
      <c r="GS205" s="8"/>
      <c r="GT205" s="8"/>
      <c r="GU205" s="8"/>
      <c r="GV205" s="8"/>
      <c r="GW205" s="8"/>
      <c r="GX205" s="8"/>
      <c r="GY205" s="8"/>
      <c r="GZ205" s="8"/>
      <c r="HA205" s="8"/>
      <c r="HB205" s="8"/>
      <c r="HC205" s="8"/>
      <c r="HD205" s="8"/>
      <c r="HE205" s="8"/>
      <c r="HF205" s="8"/>
      <c r="HG205" s="8"/>
      <c r="HH205" s="8"/>
      <c r="HI205" s="8"/>
      <c r="HJ205" s="8"/>
      <c r="HK205" s="8"/>
      <c r="HL205" s="8"/>
      <c r="HM205" s="8"/>
      <c r="HN205" s="8"/>
      <c r="HO205" s="8"/>
      <c r="HP205" s="8"/>
      <c r="HQ205" s="8"/>
      <c r="HR205" s="8"/>
      <c r="HS205" s="8"/>
      <c r="HT205" s="8"/>
      <c r="HU205" s="8"/>
      <c r="HV205" s="8"/>
      <c r="HW205" s="8"/>
      <c r="HX205" s="8"/>
      <c r="HY205" s="8"/>
      <c r="HZ205" s="8"/>
      <c r="IA205" s="8"/>
      <c r="IB205" s="8"/>
      <c r="IC205" s="8"/>
      <c r="ID205" s="8"/>
    </row>
    <row r="206" spans="5:23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c r="FJ206" s="8"/>
      <c r="FK206" s="8"/>
      <c r="FL206" s="8"/>
      <c r="FM206" s="8"/>
      <c r="FN206" s="8"/>
      <c r="FO206" s="8"/>
      <c r="FP206" s="8"/>
      <c r="FQ206" s="8"/>
      <c r="FR206" s="8"/>
      <c r="FS206" s="8"/>
      <c r="FT206" s="8"/>
      <c r="FU206" s="8"/>
      <c r="FV206" s="8"/>
      <c r="FW206" s="8"/>
      <c r="FX206" s="8"/>
      <c r="FY206" s="8"/>
      <c r="FZ206" s="8"/>
      <c r="GA206" s="8"/>
      <c r="GB206" s="8"/>
      <c r="GC206" s="8"/>
      <c r="GD206" s="8"/>
      <c r="GE206" s="8"/>
      <c r="GF206" s="8"/>
      <c r="GG206" s="8"/>
      <c r="GH206" s="8"/>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c r="HH206" s="8"/>
      <c r="HI206" s="8"/>
      <c r="HJ206" s="8"/>
      <c r="HK206" s="8"/>
      <c r="HL206" s="8"/>
      <c r="HM206" s="8"/>
      <c r="HN206" s="8"/>
      <c r="HO206" s="8"/>
      <c r="HP206" s="8"/>
      <c r="HQ206" s="8"/>
      <c r="HR206" s="8"/>
      <c r="HS206" s="8"/>
      <c r="HT206" s="8"/>
      <c r="HU206" s="8"/>
      <c r="HV206" s="8"/>
      <c r="HW206" s="8"/>
      <c r="HX206" s="8"/>
      <c r="HY206" s="8"/>
      <c r="HZ206" s="8"/>
      <c r="IA206" s="8"/>
      <c r="IB206" s="8"/>
      <c r="IC206" s="8"/>
      <c r="ID206" s="8"/>
    </row>
    <row r="207" spans="5:23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c r="FV207" s="8"/>
      <c r="FW207" s="8"/>
      <c r="FX207" s="8"/>
      <c r="FY207" s="8"/>
      <c r="FZ207" s="8"/>
      <c r="GA207" s="8"/>
      <c r="GB207" s="8"/>
      <c r="GC207" s="8"/>
      <c r="GD207" s="8"/>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c r="HU207" s="8"/>
      <c r="HV207" s="8"/>
      <c r="HW207" s="8"/>
      <c r="HX207" s="8"/>
      <c r="HY207" s="8"/>
      <c r="HZ207" s="8"/>
      <c r="IA207" s="8"/>
      <c r="IB207" s="8"/>
      <c r="IC207" s="8"/>
      <c r="ID207" s="8"/>
    </row>
    <row r="208" spans="5:23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8"/>
      <c r="EF208" s="8"/>
      <c r="EG208" s="8"/>
      <c r="EH208" s="8"/>
      <c r="EI208" s="8"/>
      <c r="EJ208" s="8"/>
      <c r="EK208" s="8"/>
      <c r="EL208" s="8"/>
      <c r="EM208" s="8"/>
      <c r="EN208" s="8"/>
      <c r="EO208" s="8"/>
      <c r="EP208" s="8"/>
      <c r="EQ208" s="8"/>
      <c r="ER208" s="8"/>
      <c r="ES208" s="8"/>
      <c r="ET208" s="8"/>
      <c r="EU208" s="8"/>
      <c r="EV208" s="8"/>
      <c r="EW208" s="8"/>
      <c r="EX208" s="8"/>
      <c r="EY208" s="8"/>
      <c r="EZ208" s="8"/>
      <c r="FA208" s="8"/>
      <c r="FB208" s="8"/>
      <c r="FC208" s="8"/>
      <c r="FD208" s="8"/>
      <c r="FE208" s="8"/>
      <c r="FF208" s="8"/>
      <c r="FG208" s="8"/>
      <c r="FH208" s="8"/>
      <c r="FI208" s="8"/>
      <c r="FJ208" s="8"/>
      <c r="FK208" s="8"/>
      <c r="FL208" s="8"/>
      <c r="FM208" s="8"/>
      <c r="FN208" s="8"/>
      <c r="FO208" s="8"/>
      <c r="FP208" s="8"/>
      <c r="FQ208" s="8"/>
      <c r="FR208" s="8"/>
      <c r="FS208" s="8"/>
      <c r="FT208" s="8"/>
      <c r="FU208" s="8"/>
      <c r="FV208" s="8"/>
      <c r="FW208" s="8"/>
      <c r="FX208" s="8"/>
      <c r="FY208" s="8"/>
      <c r="FZ208" s="8"/>
      <c r="GA208" s="8"/>
      <c r="GB208" s="8"/>
      <c r="GC208" s="8"/>
      <c r="GD208" s="8"/>
      <c r="GE208" s="8"/>
      <c r="GF208" s="8"/>
      <c r="GG208" s="8"/>
      <c r="GH208" s="8"/>
      <c r="GI208" s="8"/>
      <c r="GJ208" s="8"/>
      <c r="GK208" s="8"/>
      <c r="GL208" s="8"/>
      <c r="GM208" s="8"/>
      <c r="GN208" s="8"/>
      <c r="GO208" s="8"/>
      <c r="GP208" s="8"/>
      <c r="GQ208" s="8"/>
      <c r="GR208" s="8"/>
      <c r="GS208" s="8"/>
      <c r="GT208" s="8"/>
      <c r="GU208" s="8"/>
      <c r="GV208" s="8"/>
      <c r="GW208" s="8"/>
      <c r="GX208" s="8"/>
      <c r="GY208" s="8"/>
      <c r="GZ208" s="8"/>
      <c r="HA208" s="8"/>
      <c r="HB208" s="8"/>
      <c r="HC208" s="8"/>
      <c r="HD208" s="8"/>
      <c r="HE208" s="8"/>
      <c r="HF208" s="8"/>
      <c r="HG208" s="8"/>
      <c r="HH208" s="8"/>
      <c r="HI208" s="8"/>
      <c r="HJ208" s="8"/>
      <c r="HK208" s="8"/>
      <c r="HL208" s="8"/>
      <c r="HM208" s="8"/>
      <c r="HN208" s="8"/>
      <c r="HO208" s="8"/>
      <c r="HP208" s="8"/>
      <c r="HQ208" s="8"/>
      <c r="HR208" s="8"/>
      <c r="HS208" s="8"/>
      <c r="HT208" s="8"/>
      <c r="HU208" s="8"/>
      <c r="HV208" s="8"/>
      <c r="HW208" s="8"/>
      <c r="HX208" s="8"/>
      <c r="HY208" s="8"/>
      <c r="HZ208" s="8"/>
      <c r="IA208" s="8"/>
      <c r="IB208" s="8"/>
      <c r="IC208" s="8"/>
      <c r="ID208" s="8"/>
    </row>
    <row r="209" spans="5:23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c r="EQ209" s="8"/>
      <c r="ER209" s="8"/>
      <c r="ES209" s="8"/>
      <c r="ET209" s="8"/>
      <c r="EU209" s="8"/>
      <c r="EV209" s="8"/>
      <c r="EW209" s="8"/>
      <c r="EX209" s="8"/>
      <c r="EY209" s="8"/>
      <c r="EZ209" s="8"/>
      <c r="FA209" s="8"/>
      <c r="FB209" s="8"/>
      <c r="FC209" s="8"/>
      <c r="FD209" s="8"/>
      <c r="FE209" s="8"/>
      <c r="FF209" s="8"/>
      <c r="FG209" s="8"/>
      <c r="FH209" s="8"/>
      <c r="FI209" s="8"/>
      <c r="FJ209" s="8"/>
      <c r="FK209" s="8"/>
      <c r="FL209" s="8"/>
      <c r="FM209" s="8"/>
      <c r="FN209" s="8"/>
      <c r="FO209" s="8"/>
      <c r="FP209" s="8"/>
      <c r="FQ209" s="8"/>
      <c r="FR209" s="8"/>
      <c r="FS209" s="8"/>
      <c r="FT209" s="8"/>
      <c r="FU209" s="8"/>
      <c r="FV209" s="8"/>
      <c r="FW209" s="8"/>
      <c r="FX209" s="8"/>
      <c r="FY209" s="8"/>
      <c r="FZ209" s="8"/>
      <c r="GA209" s="8"/>
      <c r="GB209" s="8"/>
      <c r="GC209" s="8"/>
      <c r="GD209" s="8"/>
      <c r="GE209" s="8"/>
      <c r="GF209" s="8"/>
      <c r="GG209" s="8"/>
      <c r="GH209" s="8"/>
      <c r="GI209" s="8"/>
      <c r="GJ209" s="8"/>
      <c r="GK209" s="8"/>
      <c r="GL209" s="8"/>
      <c r="GM209" s="8"/>
      <c r="GN209" s="8"/>
      <c r="GO209" s="8"/>
      <c r="GP209" s="8"/>
      <c r="GQ209" s="8"/>
      <c r="GR209" s="8"/>
      <c r="GS209" s="8"/>
      <c r="GT209" s="8"/>
      <c r="GU209" s="8"/>
      <c r="GV209" s="8"/>
      <c r="GW209" s="8"/>
      <c r="GX209" s="8"/>
      <c r="GY209" s="8"/>
      <c r="GZ209" s="8"/>
      <c r="HA209" s="8"/>
      <c r="HB209" s="8"/>
      <c r="HC209" s="8"/>
      <c r="HD209" s="8"/>
      <c r="HE209" s="8"/>
      <c r="HF209" s="8"/>
      <c r="HG209" s="8"/>
      <c r="HH209" s="8"/>
      <c r="HI209" s="8"/>
      <c r="HJ209" s="8"/>
      <c r="HK209" s="8"/>
      <c r="HL209" s="8"/>
      <c r="HM209" s="8"/>
      <c r="HN209" s="8"/>
      <c r="HO209" s="8"/>
      <c r="HP209" s="8"/>
      <c r="HQ209" s="8"/>
      <c r="HR209" s="8"/>
      <c r="HS209" s="8"/>
      <c r="HT209" s="8"/>
      <c r="HU209" s="8"/>
      <c r="HV209" s="8"/>
      <c r="HW209" s="8"/>
      <c r="HX209" s="8"/>
      <c r="HY209" s="8"/>
      <c r="HZ209" s="8"/>
      <c r="IA209" s="8"/>
      <c r="IB209" s="8"/>
      <c r="IC209" s="8"/>
      <c r="ID209" s="8"/>
    </row>
    <row r="210" spans="5:23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c r="IB210" s="8"/>
      <c r="IC210" s="8"/>
      <c r="ID210" s="8"/>
    </row>
    <row r="211" spans="5:23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c r="EZ211" s="8"/>
      <c r="FA211" s="8"/>
      <c r="FB211" s="8"/>
      <c r="FC211" s="8"/>
      <c r="FD211" s="8"/>
      <c r="FE211" s="8"/>
      <c r="FF211" s="8"/>
      <c r="FG211" s="8"/>
      <c r="FH211" s="8"/>
      <c r="FI211" s="8"/>
      <c r="FJ211" s="8"/>
      <c r="FK211" s="8"/>
      <c r="FL211" s="8"/>
      <c r="FM211" s="8"/>
      <c r="FN211" s="8"/>
      <c r="FO211" s="8"/>
      <c r="FP211" s="8"/>
      <c r="FQ211" s="8"/>
      <c r="FR211" s="8"/>
      <c r="FS211" s="8"/>
      <c r="FT211" s="8"/>
      <c r="FU211" s="8"/>
      <c r="FV211" s="8"/>
      <c r="FW211" s="8"/>
      <c r="FX211" s="8"/>
      <c r="FY211" s="8"/>
      <c r="FZ211" s="8"/>
      <c r="GA211" s="8"/>
      <c r="GB211" s="8"/>
      <c r="GC211" s="8"/>
      <c r="GD211" s="8"/>
      <c r="GE211" s="8"/>
      <c r="GF211" s="8"/>
      <c r="GG211" s="8"/>
      <c r="GH211" s="8"/>
      <c r="GI211" s="8"/>
      <c r="GJ211" s="8"/>
      <c r="GK211" s="8"/>
      <c r="GL211" s="8"/>
      <c r="GM211" s="8"/>
      <c r="GN211" s="8"/>
      <c r="GO211" s="8"/>
      <c r="GP211" s="8"/>
      <c r="GQ211" s="8"/>
      <c r="GR211" s="8"/>
      <c r="GS211" s="8"/>
      <c r="GT211" s="8"/>
      <c r="GU211" s="8"/>
      <c r="GV211" s="8"/>
      <c r="GW211" s="8"/>
      <c r="GX211" s="8"/>
      <c r="GY211" s="8"/>
      <c r="GZ211" s="8"/>
      <c r="HA211" s="8"/>
      <c r="HB211" s="8"/>
      <c r="HC211" s="8"/>
      <c r="HD211" s="8"/>
      <c r="HE211" s="8"/>
      <c r="HF211" s="8"/>
      <c r="HG211" s="8"/>
      <c r="HH211" s="8"/>
      <c r="HI211" s="8"/>
      <c r="HJ211" s="8"/>
      <c r="HK211" s="8"/>
      <c r="HL211" s="8"/>
      <c r="HM211" s="8"/>
      <c r="HN211" s="8"/>
      <c r="HO211" s="8"/>
      <c r="HP211" s="8"/>
      <c r="HQ211" s="8"/>
      <c r="HR211" s="8"/>
      <c r="HS211" s="8"/>
      <c r="HT211" s="8"/>
      <c r="HU211" s="8"/>
      <c r="HV211" s="8"/>
      <c r="HW211" s="8"/>
      <c r="HX211" s="8"/>
      <c r="HY211" s="8"/>
      <c r="HZ211" s="8"/>
      <c r="IA211" s="8"/>
      <c r="IB211" s="8"/>
      <c r="IC211" s="8"/>
      <c r="ID211" s="8"/>
    </row>
    <row r="212" spans="5:23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8"/>
      <c r="EC212" s="8"/>
      <c r="ED212" s="8"/>
      <c r="EE212" s="8"/>
      <c r="EF212" s="8"/>
      <c r="EG212" s="8"/>
      <c r="EH212" s="8"/>
      <c r="EI212" s="8"/>
      <c r="EJ212" s="8"/>
      <c r="EK212" s="8"/>
      <c r="EL212" s="8"/>
      <c r="EM212" s="8"/>
      <c r="EN212" s="8"/>
      <c r="EO212" s="8"/>
      <c r="EP212" s="8"/>
      <c r="EQ212" s="8"/>
      <c r="ER212" s="8"/>
      <c r="ES212" s="8"/>
      <c r="ET212" s="8"/>
      <c r="EU212" s="8"/>
      <c r="EV212" s="8"/>
      <c r="EW212" s="8"/>
      <c r="EX212" s="8"/>
      <c r="EY212" s="8"/>
      <c r="EZ212" s="8"/>
      <c r="FA212" s="8"/>
      <c r="FB212" s="8"/>
      <c r="FC212" s="8"/>
      <c r="FD212" s="8"/>
      <c r="FE212" s="8"/>
      <c r="FF212" s="8"/>
      <c r="FG212" s="8"/>
      <c r="FH212" s="8"/>
      <c r="FI212" s="8"/>
      <c r="FJ212" s="8"/>
      <c r="FK212" s="8"/>
      <c r="FL212" s="8"/>
      <c r="FM212" s="8"/>
      <c r="FN212" s="8"/>
      <c r="FO212" s="8"/>
      <c r="FP212" s="8"/>
      <c r="FQ212" s="8"/>
      <c r="FR212" s="8"/>
      <c r="FS212" s="8"/>
      <c r="FT212" s="8"/>
      <c r="FU212" s="8"/>
      <c r="FV212" s="8"/>
      <c r="FW212" s="8"/>
      <c r="FX212" s="8"/>
      <c r="FY212" s="8"/>
      <c r="FZ212" s="8"/>
      <c r="GA212" s="8"/>
      <c r="GB212" s="8"/>
      <c r="GC212" s="8"/>
      <c r="GD212" s="8"/>
      <c r="GE212" s="8"/>
      <c r="GF212" s="8"/>
      <c r="GG212" s="8"/>
      <c r="GH212" s="8"/>
      <c r="GI212" s="8"/>
      <c r="GJ212" s="8"/>
      <c r="GK212" s="8"/>
      <c r="GL212" s="8"/>
      <c r="GM212" s="8"/>
      <c r="GN212" s="8"/>
      <c r="GO212" s="8"/>
      <c r="GP212" s="8"/>
      <c r="GQ212" s="8"/>
      <c r="GR212" s="8"/>
      <c r="GS212" s="8"/>
      <c r="GT212" s="8"/>
      <c r="GU212" s="8"/>
      <c r="GV212" s="8"/>
      <c r="GW212" s="8"/>
      <c r="GX212" s="8"/>
      <c r="GY212" s="8"/>
      <c r="GZ212" s="8"/>
      <c r="HA212" s="8"/>
      <c r="HB212" s="8"/>
      <c r="HC212" s="8"/>
      <c r="HD212" s="8"/>
      <c r="HE212" s="8"/>
      <c r="HF212" s="8"/>
      <c r="HG212" s="8"/>
      <c r="HH212" s="8"/>
      <c r="HI212" s="8"/>
      <c r="HJ212" s="8"/>
      <c r="HK212" s="8"/>
      <c r="HL212" s="8"/>
      <c r="HM212" s="8"/>
      <c r="HN212" s="8"/>
      <c r="HO212" s="8"/>
      <c r="HP212" s="8"/>
      <c r="HQ212" s="8"/>
      <c r="HR212" s="8"/>
      <c r="HS212" s="8"/>
      <c r="HT212" s="8"/>
      <c r="HU212" s="8"/>
      <c r="HV212" s="8"/>
      <c r="HW212" s="8"/>
      <c r="HX212" s="8"/>
      <c r="HY212" s="8"/>
      <c r="HZ212" s="8"/>
      <c r="IA212" s="8"/>
      <c r="IB212" s="8"/>
      <c r="IC212" s="8"/>
      <c r="ID212" s="8"/>
    </row>
    <row r="213" spans="5:23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c r="FT213" s="8"/>
      <c r="FU213" s="8"/>
      <c r="FV213" s="8"/>
      <c r="FW213" s="8"/>
      <c r="FX213" s="8"/>
      <c r="FY213" s="8"/>
      <c r="FZ213" s="8"/>
      <c r="GA213" s="8"/>
      <c r="GB213" s="8"/>
      <c r="GC213" s="8"/>
      <c r="GD213" s="8"/>
      <c r="GE213" s="8"/>
      <c r="GF213" s="8"/>
      <c r="GG213" s="8"/>
      <c r="GH213" s="8"/>
      <c r="GI213" s="8"/>
      <c r="GJ213" s="8"/>
      <c r="GK213" s="8"/>
      <c r="GL213" s="8"/>
      <c r="GM213" s="8"/>
      <c r="GN213" s="8"/>
      <c r="GO213" s="8"/>
      <c r="GP213" s="8"/>
      <c r="GQ213" s="8"/>
      <c r="GR213" s="8"/>
      <c r="GS213" s="8"/>
      <c r="GT213" s="8"/>
      <c r="GU213" s="8"/>
      <c r="GV213" s="8"/>
      <c r="GW213" s="8"/>
      <c r="GX213" s="8"/>
      <c r="GY213" s="8"/>
      <c r="GZ213" s="8"/>
      <c r="HA213" s="8"/>
      <c r="HB213" s="8"/>
      <c r="HC213" s="8"/>
      <c r="HD213" s="8"/>
      <c r="HE213" s="8"/>
      <c r="HF213" s="8"/>
      <c r="HG213" s="8"/>
      <c r="HH213" s="8"/>
      <c r="HI213" s="8"/>
      <c r="HJ213" s="8"/>
      <c r="HK213" s="8"/>
      <c r="HL213" s="8"/>
      <c r="HM213" s="8"/>
      <c r="HN213" s="8"/>
      <c r="HO213" s="8"/>
      <c r="HP213" s="8"/>
      <c r="HQ213" s="8"/>
      <c r="HR213" s="8"/>
      <c r="HS213" s="8"/>
      <c r="HT213" s="8"/>
      <c r="HU213" s="8"/>
      <c r="HV213" s="8"/>
      <c r="HW213" s="8"/>
      <c r="HX213" s="8"/>
      <c r="HY213" s="8"/>
      <c r="HZ213" s="8"/>
      <c r="IA213" s="8"/>
      <c r="IB213" s="8"/>
      <c r="IC213" s="8"/>
      <c r="ID213" s="8"/>
    </row>
    <row r="214" spans="5:23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c r="EQ214" s="8"/>
      <c r="ER214" s="8"/>
      <c r="ES214" s="8"/>
      <c r="ET214" s="8"/>
      <c r="EU214" s="8"/>
      <c r="EV214" s="8"/>
      <c r="EW214" s="8"/>
      <c r="EX214" s="8"/>
      <c r="EY214" s="8"/>
      <c r="EZ214" s="8"/>
      <c r="FA214" s="8"/>
      <c r="FB214" s="8"/>
      <c r="FC214" s="8"/>
      <c r="FD214" s="8"/>
      <c r="FE214" s="8"/>
      <c r="FF214" s="8"/>
      <c r="FG214" s="8"/>
      <c r="FH214" s="8"/>
      <c r="FI214" s="8"/>
      <c r="FJ214" s="8"/>
      <c r="FK214" s="8"/>
      <c r="FL214" s="8"/>
      <c r="FM214" s="8"/>
      <c r="FN214" s="8"/>
      <c r="FO214" s="8"/>
      <c r="FP214" s="8"/>
      <c r="FQ214" s="8"/>
      <c r="FR214" s="8"/>
      <c r="FS214" s="8"/>
      <c r="FT214" s="8"/>
      <c r="FU214" s="8"/>
      <c r="FV214" s="8"/>
      <c r="FW214" s="8"/>
      <c r="FX214" s="8"/>
      <c r="FY214" s="8"/>
      <c r="FZ214" s="8"/>
      <c r="GA214" s="8"/>
      <c r="GB214" s="8"/>
      <c r="GC214" s="8"/>
      <c r="GD214" s="8"/>
      <c r="GE214" s="8"/>
      <c r="GF214" s="8"/>
      <c r="GG214" s="8"/>
      <c r="GH214" s="8"/>
      <c r="GI214" s="8"/>
      <c r="GJ214" s="8"/>
      <c r="GK214" s="8"/>
      <c r="GL214" s="8"/>
      <c r="GM214" s="8"/>
      <c r="GN214" s="8"/>
      <c r="GO214" s="8"/>
      <c r="GP214" s="8"/>
      <c r="GQ214" s="8"/>
      <c r="GR214" s="8"/>
      <c r="GS214" s="8"/>
      <c r="GT214" s="8"/>
      <c r="GU214" s="8"/>
      <c r="GV214" s="8"/>
      <c r="GW214" s="8"/>
      <c r="GX214" s="8"/>
      <c r="GY214" s="8"/>
      <c r="GZ214" s="8"/>
      <c r="HA214" s="8"/>
      <c r="HB214" s="8"/>
      <c r="HC214" s="8"/>
      <c r="HD214" s="8"/>
      <c r="HE214" s="8"/>
      <c r="HF214" s="8"/>
      <c r="HG214" s="8"/>
      <c r="HH214" s="8"/>
      <c r="HI214" s="8"/>
      <c r="HJ214" s="8"/>
      <c r="HK214" s="8"/>
      <c r="HL214" s="8"/>
      <c r="HM214" s="8"/>
      <c r="HN214" s="8"/>
      <c r="HO214" s="8"/>
      <c r="HP214" s="8"/>
      <c r="HQ214" s="8"/>
      <c r="HR214" s="8"/>
      <c r="HS214" s="8"/>
      <c r="HT214" s="8"/>
      <c r="HU214" s="8"/>
      <c r="HV214" s="8"/>
      <c r="HW214" s="8"/>
      <c r="HX214" s="8"/>
      <c r="HY214" s="8"/>
      <c r="HZ214" s="8"/>
      <c r="IA214" s="8"/>
      <c r="IB214" s="8"/>
      <c r="IC214" s="8"/>
      <c r="ID214" s="8"/>
    </row>
    <row r="215" spans="5:23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c r="EZ215" s="8"/>
      <c r="FA215" s="8"/>
      <c r="FB215" s="8"/>
      <c r="FC215" s="8"/>
      <c r="FD215" s="8"/>
      <c r="FE215" s="8"/>
      <c r="FF215" s="8"/>
      <c r="FG215" s="8"/>
      <c r="FH215" s="8"/>
      <c r="FI215" s="8"/>
      <c r="FJ215" s="8"/>
      <c r="FK215" s="8"/>
      <c r="FL215" s="8"/>
      <c r="FM215" s="8"/>
      <c r="FN215" s="8"/>
      <c r="FO215" s="8"/>
      <c r="FP215" s="8"/>
      <c r="FQ215" s="8"/>
      <c r="FR215" s="8"/>
      <c r="FS215" s="8"/>
      <c r="FT215" s="8"/>
      <c r="FU215" s="8"/>
      <c r="FV215" s="8"/>
      <c r="FW215" s="8"/>
      <c r="FX215" s="8"/>
      <c r="FY215" s="8"/>
      <c r="FZ215" s="8"/>
      <c r="GA215" s="8"/>
      <c r="GB215" s="8"/>
      <c r="GC215" s="8"/>
      <c r="GD215" s="8"/>
      <c r="GE215" s="8"/>
      <c r="GF215" s="8"/>
      <c r="GG215" s="8"/>
      <c r="GH215" s="8"/>
      <c r="GI215" s="8"/>
      <c r="GJ215" s="8"/>
      <c r="GK215" s="8"/>
      <c r="GL215" s="8"/>
      <c r="GM215" s="8"/>
      <c r="GN215" s="8"/>
      <c r="GO215" s="8"/>
      <c r="GP215" s="8"/>
      <c r="GQ215" s="8"/>
      <c r="GR215" s="8"/>
      <c r="GS215" s="8"/>
      <c r="GT215" s="8"/>
      <c r="GU215" s="8"/>
      <c r="GV215" s="8"/>
      <c r="GW215" s="8"/>
      <c r="GX215" s="8"/>
      <c r="GY215" s="8"/>
      <c r="GZ215" s="8"/>
      <c r="HA215" s="8"/>
      <c r="HB215" s="8"/>
      <c r="HC215" s="8"/>
      <c r="HD215" s="8"/>
      <c r="HE215" s="8"/>
      <c r="HF215" s="8"/>
      <c r="HG215" s="8"/>
      <c r="HH215" s="8"/>
      <c r="HI215" s="8"/>
      <c r="HJ215" s="8"/>
      <c r="HK215" s="8"/>
      <c r="HL215" s="8"/>
      <c r="HM215" s="8"/>
      <c r="HN215" s="8"/>
      <c r="HO215" s="8"/>
      <c r="HP215" s="8"/>
      <c r="HQ215" s="8"/>
      <c r="HR215" s="8"/>
      <c r="HS215" s="8"/>
      <c r="HT215" s="8"/>
      <c r="HU215" s="8"/>
      <c r="HV215" s="8"/>
      <c r="HW215" s="8"/>
      <c r="HX215" s="8"/>
      <c r="HY215" s="8"/>
      <c r="HZ215" s="8"/>
      <c r="IA215" s="8"/>
      <c r="IB215" s="8"/>
      <c r="IC215" s="8"/>
      <c r="ID215" s="8"/>
    </row>
    <row r="216" spans="5:23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c r="EZ216" s="8"/>
      <c r="FA216" s="8"/>
      <c r="FB216" s="8"/>
      <c r="FC216" s="8"/>
      <c r="FD216" s="8"/>
      <c r="FE216" s="8"/>
      <c r="FF216" s="8"/>
      <c r="FG216" s="8"/>
      <c r="FH216" s="8"/>
      <c r="FI216" s="8"/>
      <c r="FJ216" s="8"/>
      <c r="FK216" s="8"/>
      <c r="FL216" s="8"/>
      <c r="FM216" s="8"/>
      <c r="FN216" s="8"/>
      <c r="FO216" s="8"/>
      <c r="FP216" s="8"/>
      <c r="FQ216" s="8"/>
      <c r="FR216" s="8"/>
      <c r="FS216" s="8"/>
      <c r="FT216" s="8"/>
      <c r="FU216" s="8"/>
      <c r="FV216" s="8"/>
      <c r="FW216" s="8"/>
      <c r="FX216" s="8"/>
      <c r="FY216" s="8"/>
      <c r="FZ216" s="8"/>
      <c r="GA216" s="8"/>
      <c r="GB216" s="8"/>
      <c r="GC216" s="8"/>
      <c r="GD216" s="8"/>
      <c r="GE216" s="8"/>
      <c r="GF216" s="8"/>
      <c r="GG216" s="8"/>
      <c r="GH216" s="8"/>
      <c r="GI216" s="8"/>
      <c r="GJ216" s="8"/>
      <c r="GK216" s="8"/>
      <c r="GL216" s="8"/>
      <c r="GM216" s="8"/>
      <c r="GN216" s="8"/>
      <c r="GO216" s="8"/>
      <c r="GP216" s="8"/>
      <c r="GQ216" s="8"/>
      <c r="GR216" s="8"/>
      <c r="GS216" s="8"/>
      <c r="GT216" s="8"/>
      <c r="GU216" s="8"/>
      <c r="GV216" s="8"/>
      <c r="GW216" s="8"/>
      <c r="GX216" s="8"/>
      <c r="GY216" s="8"/>
      <c r="GZ216" s="8"/>
      <c r="HA216" s="8"/>
      <c r="HB216" s="8"/>
      <c r="HC216" s="8"/>
      <c r="HD216" s="8"/>
      <c r="HE216" s="8"/>
      <c r="HF216" s="8"/>
      <c r="HG216" s="8"/>
      <c r="HH216" s="8"/>
      <c r="HI216" s="8"/>
      <c r="HJ216" s="8"/>
      <c r="HK216" s="8"/>
      <c r="HL216" s="8"/>
      <c r="HM216" s="8"/>
      <c r="HN216" s="8"/>
      <c r="HO216" s="8"/>
      <c r="HP216" s="8"/>
      <c r="HQ216" s="8"/>
      <c r="HR216" s="8"/>
      <c r="HS216" s="8"/>
      <c r="HT216" s="8"/>
      <c r="HU216" s="8"/>
      <c r="HV216" s="8"/>
      <c r="HW216" s="8"/>
      <c r="HX216" s="8"/>
      <c r="HY216" s="8"/>
      <c r="HZ216" s="8"/>
      <c r="IA216" s="8"/>
      <c r="IB216" s="8"/>
      <c r="IC216" s="8"/>
      <c r="ID216" s="8"/>
    </row>
    <row r="217" spans="5:23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8"/>
      <c r="EZ217" s="8"/>
      <c r="FA217" s="8"/>
      <c r="FB217" s="8"/>
      <c r="FC217" s="8"/>
      <c r="FD217" s="8"/>
      <c r="FE217" s="8"/>
      <c r="FF217" s="8"/>
      <c r="FG217" s="8"/>
      <c r="FH217" s="8"/>
      <c r="FI217" s="8"/>
      <c r="FJ217" s="8"/>
      <c r="FK217" s="8"/>
      <c r="FL217" s="8"/>
      <c r="FM217" s="8"/>
      <c r="FN217" s="8"/>
      <c r="FO217" s="8"/>
      <c r="FP217" s="8"/>
      <c r="FQ217" s="8"/>
      <c r="FR217" s="8"/>
      <c r="FS217" s="8"/>
      <c r="FT217" s="8"/>
      <c r="FU217" s="8"/>
      <c r="FV217" s="8"/>
      <c r="FW217" s="8"/>
      <c r="FX217" s="8"/>
      <c r="FY217" s="8"/>
      <c r="FZ217" s="8"/>
      <c r="GA217" s="8"/>
      <c r="GB217" s="8"/>
      <c r="GC217" s="8"/>
      <c r="GD217" s="8"/>
      <c r="GE217" s="8"/>
      <c r="GF217" s="8"/>
      <c r="GG217" s="8"/>
      <c r="GH217" s="8"/>
      <c r="GI217" s="8"/>
      <c r="GJ217" s="8"/>
      <c r="GK217" s="8"/>
      <c r="GL217" s="8"/>
      <c r="GM217" s="8"/>
      <c r="GN217" s="8"/>
      <c r="GO217" s="8"/>
      <c r="GP217" s="8"/>
      <c r="GQ217" s="8"/>
      <c r="GR217" s="8"/>
      <c r="GS217" s="8"/>
      <c r="GT217" s="8"/>
      <c r="GU217" s="8"/>
      <c r="GV217" s="8"/>
      <c r="GW217" s="8"/>
      <c r="GX217" s="8"/>
      <c r="GY217" s="8"/>
      <c r="GZ217" s="8"/>
      <c r="HA217" s="8"/>
      <c r="HB217" s="8"/>
      <c r="HC217" s="8"/>
      <c r="HD217" s="8"/>
      <c r="HE217" s="8"/>
      <c r="HF217" s="8"/>
      <c r="HG217" s="8"/>
      <c r="HH217" s="8"/>
      <c r="HI217" s="8"/>
      <c r="HJ217" s="8"/>
      <c r="HK217" s="8"/>
      <c r="HL217" s="8"/>
      <c r="HM217" s="8"/>
      <c r="HN217" s="8"/>
      <c r="HO217" s="8"/>
      <c r="HP217" s="8"/>
      <c r="HQ217" s="8"/>
      <c r="HR217" s="8"/>
      <c r="HS217" s="8"/>
      <c r="HT217" s="8"/>
      <c r="HU217" s="8"/>
      <c r="HV217" s="8"/>
      <c r="HW217" s="8"/>
      <c r="HX217" s="8"/>
      <c r="HY217" s="8"/>
      <c r="HZ217" s="8"/>
      <c r="IA217" s="8"/>
      <c r="IB217" s="8"/>
      <c r="IC217" s="8"/>
      <c r="ID217" s="8"/>
    </row>
    <row r="218" spans="5:23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c r="EQ218" s="8"/>
      <c r="ER218" s="8"/>
      <c r="ES218" s="8"/>
      <c r="ET218" s="8"/>
      <c r="EU218" s="8"/>
      <c r="EV218" s="8"/>
      <c r="EW218" s="8"/>
      <c r="EX218" s="8"/>
      <c r="EY218" s="8"/>
      <c r="EZ218" s="8"/>
      <c r="FA218" s="8"/>
      <c r="FB218" s="8"/>
      <c r="FC218" s="8"/>
      <c r="FD218" s="8"/>
      <c r="FE218" s="8"/>
      <c r="FF218" s="8"/>
      <c r="FG218" s="8"/>
      <c r="FH218" s="8"/>
      <c r="FI218" s="8"/>
      <c r="FJ218" s="8"/>
      <c r="FK218" s="8"/>
      <c r="FL218" s="8"/>
      <c r="FM218" s="8"/>
      <c r="FN218" s="8"/>
      <c r="FO218" s="8"/>
      <c r="FP218" s="8"/>
      <c r="FQ218" s="8"/>
      <c r="FR218" s="8"/>
      <c r="FS218" s="8"/>
      <c r="FT218" s="8"/>
      <c r="FU218" s="8"/>
      <c r="FV218" s="8"/>
      <c r="FW218" s="8"/>
      <c r="FX218" s="8"/>
      <c r="FY218" s="8"/>
      <c r="FZ218" s="8"/>
      <c r="GA218" s="8"/>
      <c r="GB218" s="8"/>
      <c r="GC218" s="8"/>
      <c r="GD218" s="8"/>
      <c r="GE218" s="8"/>
      <c r="GF218" s="8"/>
      <c r="GG218" s="8"/>
      <c r="GH218" s="8"/>
      <c r="GI218" s="8"/>
      <c r="GJ218" s="8"/>
      <c r="GK218" s="8"/>
      <c r="GL218" s="8"/>
      <c r="GM218" s="8"/>
      <c r="GN218" s="8"/>
      <c r="GO218" s="8"/>
      <c r="GP218" s="8"/>
      <c r="GQ218" s="8"/>
      <c r="GR218" s="8"/>
      <c r="GS218" s="8"/>
      <c r="GT218" s="8"/>
      <c r="GU218" s="8"/>
      <c r="GV218" s="8"/>
      <c r="GW218" s="8"/>
      <c r="GX218" s="8"/>
      <c r="GY218" s="8"/>
      <c r="GZ218" s="8"/>
      <c r="HA218" s="8"/>
      <c r="HB218" s="8"/>
      <c r="HC218" s="8"/>
      <c r="HD218" s="8"/>
      <c r="HE218" s="8"/>
      <c r="HF218" s="8"/>
      <c r="HG218" s="8"/>
      <c r="HH218" s="8"/>
      <c r="HI218" s="8"/>
      <c r="HJ218" s="8"/>
      <c r="HK218" s="8"/>
      <c r="HL218" s="8"/>
      <c r="HM218" s="8"/>
      <c r="HN218" s="8"/>
      <c r="HO218" s="8"/>
      <c r="HP218" s="8"/>
      <c r="HQ218" s="8"/>
      <c r="HR218" s="8"/>
      <c r="HS218" s="8"/>
      <c r="HT218" s="8"/>
      <c r="HU218" s="8"/>
      <c r="HV218" s="8"/>
      <c r="HW218" s="8"/>
      <c r="HX218" s="8"/>
      <c r="HY218" s="8"/>
      <c r="HZ218" s="8"/>
      <c r="IA218" s="8"/>
      <c r="IB218" s="8"/>
      <c r="IC218" s="8"/>
      <c r="ID218" s="8"/>
    </row>
    <row r="219" spans="5:23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c r="DX219" s="8"/>
      <c r="DY219" s="8"/>
      <c r="DZ219" s="8"/>
      <c r="EA219" s="8"/>
      <c r="EB219" s="8"/>
      <c r="EC219" s="8"/>
      <c r="ED219" s="8"/>
      <c r="EE219" s="8"/>
      <c r="EF219" s="8"/>
      <c r="EG219" s="8"/>
      <c r="EH219" s="8"/>
      <c r="EI219" s="8"/>
      <c r="EJ219" s="8"/>
      <c r="EK219" s="8"/>
      <c r="EL219" s="8"/>
      <c r="EM219" s="8"/>
      <c r="EN219" s="8"/>
      <c r="EO219" s="8"/>
      <c r="EP219" s="8"/>
      <c r="EQ219" s="8"/>
      <c r="ER219" s="8"/>
      <c r="ES219" s="8"/>
      <c r="ET219" s="8"/>
      <c r="EU219" s="8"/>
      <c r="EV219" s="8"/>
      <c r="EW219" s="8"/>
      <c r="EX219" s="8"/>
      <c r="EY219" s="8"/>
      <c r="EZ219" s="8"/>
      <c r="FA219" s="8"/>
      <c r="FB219" s="8"/>
      <c r="FC219" s="8"/>
      <c r="FD219" s="8"/>
      <c r="FE219" s="8"/>
      <c r="FF219" s="8"/>
      <c r="FG219" s="8"/>
      <c r="FH219" s="8"/>
      <c r="FI219" s="8"/>
      <c r="FJ219" s="8"/>
      <c r="FK219" s="8"/>
      <c r="FL219" s="8"/>
      <c r="FM219" s="8"/>
      <c r="FN219" s="8"/>
      <c r="FO219" s="8"/>
      <c r="FP219" s="8"/>
      <c r="FQ219" s="8"/>
      <c r="FR219" s="8"/>
      <c r="FS219" s="8"/>
      <c r="FT219" s="8"/>
      <c r="FU219" s="8"/>
      <c r="FV219" s="8"/>
      <c r="FW219" s="8"/>
      <c r="FX219" s="8"/>
      <c r="FY219" s="8"/>
      <c r="FZ219" s="8"/>
      <c r="GA219" s="8"/>
      <c r="GB219" s="8"/>
      <c r="GC219" s="8"/>
      <c r="GD219" s="8"/>
      <c r="GE219" s="8"/>
      <c r="GF219" s="8"/>
      <c r="GG219" s="8"/>
      <c r="GH219" s="8"/>
      <c r="GI219" s="8"/>
      <c r="GJ219" s="8"/>
      <c r="GK219" s="8"/>
      <c r="GL219" s="8"/>
      <c r="GM219" s="8"/>
      <c r="GN219" s="8"/>
      <c r="GO219" s="8"/>
      <c r="GP219" s="8"/>
      <c r="GQ219" s="8"/>
      <c r="GR219" s="8"/>
      <c r="GS219" s="8"/>
      <c r="GT219" s="8"/>
      <c r="GU219" s="8"/>
      <c r="GV219" s="8"/>
      <c r="GW219" s="8"/>
      <c r="GX219" s="8"/>
      <c r="GY219" s="8"/>
      <c r="GZ219" s="8"/>
      <c r="HA219" s="8"/>
      <c r="HB219" s="8"/>
      <c r="HC219" s="8"/>
      <c r="HD219" s="8"/>
      <c r="HE219" s="8"/>
      <c r="HF219" s="8"/>
      <c r="HG219" s="8"/>
      <c r="HH219" s="8"/>
      <c r="HI219" s="8"/>
      <c r="HJ219" s="8"/>
      <c r="HK219" s="8"/>
      <c r="HL219" s="8"/>
      <c r="HM219" s="8"/>
      <c r="HN219" s="8"/>
      <c r="HO219" s="8"/>
      <c r="HP219" s="8"/>
      <c r="HQ219" s="8"/>
      <c r="HR219" s="8"/>
      <c r="HS219" s="8"/>
      <c r="HT219" s="8"/>
      <c r="HU219" s="8"/>
      <c r="HV219" s="8"/>
      <c r="HW219" s="8"/>
      <c r="HX219" s="8"/>
      <c r="HY219" s="8"/>
      <c r="HZ219" s="8"/>
      <c r="IA219" s="8"/>
      <c r="IB219" s="8"/>
      <c r="IC219" s="8"/>
      <c r="ID219" s="8"/>
    </row>
    <row r="220" spans="5:23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c r="EX220" s="8"/>
      <c r="EY220" s="8"/>
      <c r="EZ220" s="8"/>
      <c r="FA220" s="8"/>
      <c r="FB220" s="8"/>
      <c r="FC220" s="8"/>
      <c r="FD220" s="8"/>
      <c r="FE220" s="8"/>
      <c r="FF220" s="8"/>
      <c r="FG220" s="8"/>
      <c r="FH220" s="8"/>
      <c r="FI220" s="8"/>
      <c r="FJ220" s="8"/>
      <c r="FK220" s="8"/>
      <c r="FL220" s="8"/>
      <c r="FM220" s="8"/>
      <c r="FN220" s="8"/>
      <c r="FO220" s="8"/>
      <c r="FP220" s="8"/>
      <c r="FQ220" s="8"/>
      <c r="FR220" s="8"/>
      <c r="FS220" s="8"/>
      <c r="FT220" s="8"/>
      <c r="FU220" s="8"/>
      <c r="FV220" s="8"/>
      <c r="FW220" s="8"/>
      <c r="FX220" s="8"/>
      <c r="FY220" s="8"/>
      <c r="FZ220" s="8"/>
      <c r="GA220" s="8"/>
      <c r="GB220" s="8"/>
      <c r="GC220" s="8"/>
      <c r="GD220" s="8"/>
      <c r="GE220" s="8"/>
      <c r="GF220" s="8"/>
      <c r="GG220" s="8"/>
      <c r="GH220" s="8"/>
      <c r="GI220" s="8"/>
      <c r="GJ220" s="8"/>
      <c r="GK220" s="8"/>
      <c r="GL220" s="8"/>
      <c r="GM220" s="8"/>
      <c r="GN220" s="8"/>
      <c r="GO220" s="8"/>
      <c r="GP220" s="8"/>
      <c r="GQ220" s="8"/>
      <c r="GR220" s="8"/>
      <c r="GS220" s="8"/>
      <c r="GT220" s="8"/>
      <c r="GU220" s="8"/>
      <c r="GV220" s="8"/>
      <c r="GW220" s="8"/>
      <c r="GX220" s="8"/>
      <c r="GY220" s="8"/>
      <c r="GZ220" s="8"/>
      <c r="HA220" s="8"/>
      <c r="HB220" s="8"/>
      <c r="HC220" s="8"/>
      <c r="HD220" s="8"/>
      <c r="HE220" s="8"/>
      <c r="HF220" s="8"/>
      <c r="HG220" s="8"/>
      <c r="HH220" s="8"/>
      <c r="HI220" s="8"/>
      <c r="HJ220" s="8"/>
      <c r="HK220" s="8"/>
      <c r="HL220" s="8"/>
      <c r="HM220" s="8"/>
      <c r="HN220" s="8"/>
      <c r="HO220" s="8"/>
      <c r="HP220" s="8"/>
      <c r="HQ220" s="8"/>
      <c r="HR220" s="8"/>
      <c r="HS220" s="8"/>
      <c r="HT220" s="8"/>
      <c r="HU220" s="8"/>
      <c r="HV220" s="8"/>
      <c r="HW220" s="8"/>
      <c r="HX220" s="8"/>
      <c r="HY220" s="8"/>
      <c r="HZ220" s="8"/>
      <c r="IA220" s="8"/>
      <c r="IB220" s="8"/>
      <c r="IC220" s="8"/>
      <c r="ID220" s="8"/>
    </row>
    <row r="221" spans="5:23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c r="EQ221" s="8"/>
      <c r="ER221" s="8"/>
      <c r="ES221" s="8"/>
      <c r="ET221" s="8"/>
      <c r="EU221" s="8"/>
      <c r="EV221" s="8"/>
      <c r="EW221" s="8"/>
      <c r="EX221" s="8"/>
      <c r="EY221" s="8"/>
      <c r="EZ221" s="8"/>
      <c r="FA221" s="8"/>
      <c r="FB221" s="8"/>
      <c r="FC221" s="8"/>
      <c r="FD221" s="8"/>
      <c r="FE221" s="8"/>
      <c r="FF221" s="8"/>
      <c r="FG221" s="8"/>
      <c r="FH221" s="8"/>
      <c r="FI221" s="8"/>
      <c r="FJ221" s="8"/>
      <c r="FK221" s="8"/>
      <c r="FL221" s="8"/>
      <c r="FM221" s="8"/>
      <c r="FN221" s="8"/>
      <c r="FO221" s="8"/>
      <c r="FP221" s="8"/>
      <c r="FQ221" s="8"/>
      <c r="FR221" s="8"/>
      <c r="FS221" s="8"/>
      <c r="FT221" s="8"/>
      <c r="FU221" s="8"/>
      <c r="FV221" s="8"/>
      <c r="FW221" s="8"/>
      <c r="FX221" s="8"/>
      <c r="FY221" s="8"/>
      <c r="FZ221" s="8"/>
      <c r="GA221" s="8"/>
      <c r="GB221" s="8"/>
      <c r="GC221" s="8"/>
      <c r="GD221" s="8"/>
      <c r="GE221" s="8"/>
      <c r="GF221" s="8"/>
      <c r="GG221" s="8"/>
      <c r="GH221" s="8"/>
      <c r="GI221" s="8"/>
      <c r="GJ221" s="8"/>
      <c r="GK221" s="8"/>
      <c r="GL221" s="8"/>
      <c r="GM221" s="8"/>
      <c r="GN221" s="8"/>
      <c r="GO221" s="8"/>
      <c r="GP221" s="8"/>
      <c r="GQ221" s="8"/>
      <c r="GR221" s="8"/>
      <c r="GS221" s="8"/>
      <c r="GT221" s="8"/>
      <c r="GU221" s="8"/>
      <c r="GV221" s="8"/>
      <c r="GW221" s="8"/>
      <c r="GX221" s="8"/>
      <c r="GY221" s="8"/>
      <c r="GZ221" s="8"/>
      <c r="HA221" s="8"/>
      <c r="HB221" s="8"/>
      <c r="HC221" s="8"/>
      <c r="HD221" s="8"/>
      <c r="HE221" s="8"/>
      <c r="HF221" s="8"/>
      <c r="HG221" s="8"/>
      <c r="HH221" s="8"/>
      <c r="HI221" s="8"/>
      <c r="HJ221" s="8"/>
      <c r="HK221" s="8"/>
      <c r="HL221" s="8"/>
      <c r="HM221" s="8"/>
      <c r="HN221" s="8"/>
      <c r="HO221" s="8"/>
      <c r="HP221" s="8"/>
      <c r="HQ221" s="8"/>
      <c r="HR221" s="8"/>
      <c r="HS221" s="8"/>
      <c r="HT221" s="8"/>
      <c r="HU221" s="8"/>
      <c r="HV221" s="8"/>
      <c r="HW221" s="8"/>
      <c r="HX221" s="8"/>
      <c r="HY221" s="8"/>
      <c r="HZ221" s="8"/>
      <c r="IA221" s="8"/>
      <c r="IB221" s="8"/>
      <c r="IC221" s="8"/>
      <c r="ID221" s="8"/>
    </row>
    <row r="222" spans="5:23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c r="EX222" s="8"/>
      <c r="EY222" s="8"/>
      <c r="EZ222" s="8"/>
      <c r="FA222" s="8"/>
      <c r="FB222" s="8"/>
      <c r="FC222" s="8"/>
      <c r="FD222" s="8"/>
      <c r="FE222" s="8"/>
      <c r="FF222" s="8"/>
      <c r="FG222" s="8"/>
      <c r="FH222" s="8"/>
      <c r="FI222" s="8"/>
      <c r="FJ222" s="8"/>
      <c r="FK222" s="8"/>
      <c r="FL222" s="8"/>
      <c r="FM222" s="8"/>
      <c r="FN222" s="8"/>
      <c r="FO222" s="8"/>
      <c r="FP222" s="8"/>
      <c r="FQ222" s="8"/>
      <c r="FR222" s="8"/>
      <c r="FS222" s="8"/>
      <c r="FT222" s="8"/>
      <c r="FU222" s="8"/>
      <c r="FV222" s="8"/>
      <c r="FW222" s="8"/>
      <c r="FX222" s="8"/>
      <c r="FY222" s="8"/>
      <c r="FZ222" s="8"/>
      <c r="GA222" s="8"/>
      <c r="GB222" s="8"/>
      <c r="GC222" s="8"/>
      <c r="GD222" s="8"/>
      <c r="GE222" s="8"/>
      <c r="GF222" s="8"/>
      <c r="GG222" s="8"/>
      <c r="GH222" s="8"/>
      <c r="GI222" s="8"/>
      <c r="GJ222" s="8"/>
      <c r="GK222" s="8"/>
      <c r="GL222" s="8"/>
      <c r="GM222" s="8"/>
      <c r="GN222" s="8"/>
      <c r="GO222" s="8"/>
      <c r="GP222" s="8"/>
      <c r="GQ222" s="8"/>
      <c r="GR222" s="8"/>
      <c r="GS222" s="8"/>
      <c r="GT222" s="8"/>
      <c r="GU222" s="8"/>
      <c r="GV222" s="8"/>
      <c r="GW222" s="8"/>
      <c r="GX222" s="8"/>
      <c r="GY222" s="8"/>
      <c r="GZ222" s="8"/>
      <c r="HA222" s="8"/>
      <c r="HB222" s="8"/>
      <c r="HC222" s="8"/>
      <c r="HD222" s="8"/>
      <c r="HE222" s="8"/>
      <c r="HF222" s="8"/>
      <c r="HG222" s="8"/>
      <c r="HH222" s="8"/>
      <c r="HI222" s="8"/>
      <c r="HJ222" s="8"/>
      <c r="HK222" s="8"/>
      <c r="HL222" s="8"/>
      <c r="HM222" s="8"/>
      <c r="HN222" s="8"/>
      <c r="HO222" s="8"/>
      <c r="HP222" s="8"/>
      <c r="HQ222" s="8"/>
      <c r="HR222" s="8"/>
      <c r="HS222" s="8"/>
      <c r="HT222" s="8"/>
      <c r="HU222" s="8"/>
      <c r="HV222" s="8"/>
      <c r="HW222" s="8"/>
      <c r="HX222" s="8"/>
      <c r="HY222" s="8"/>
      <c r="HZ222" s="8"/>
      <c r="IA222" s="8"/>
      <c r="IB222" s="8"/>
      <c r="IC222" s="8"/>
      <c r="ID222" s="8"/>
    </row>
    <row r="223" spans="5:23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c r="EX223" s="8"/>
      <c r="EY223" s="8"/>
      <c r="EZ223" s="8"/>
      <c r="FA223" s="8"/>
      <c r="FB223" s="8"/>
      <c r="FC223" s="8"/>
      <c r="FD223" s="8"/>
      <c r="FE223" s="8"/>
      <c r="FF223" s="8"/>
      <c r="FG223" s="8"/>
      <c r="FH223" s="8"/>
      <c r="FI223" s="8"/>
      <c r="FJ223" s="8"/>
      <c r="FK223" s="8"/>
      <c r="FL223" s="8"/>
      <c r="FM223" s="8"/>
      <c r="FN223" s="8"/>
      <c r="FO223" s="8"/>
      <c r="FP223" s="8"/>
      <c r="FQ223" s="8"/>
      <c r="FR223" s="8"/>
      <c r="FS223" s="8"/>
      <c r="FT223" s="8"/>
      <c r="FU223" s="8"/>
      <c r="FV223" s="8"/>
      <c r="FW223" s="8"/>
      <c r="FX223" s="8"/>
      <c r="FY223" s="8"/>
      <c r="FZ223" s="8"/>
      <c r="GA223" s="8"/>
      <c r="GB223" s="8"/>
      <c r="GC223" s="8"/>
      <c r="GD223" s="8"/>
      <c r="GE223" s="8"/>
      <c r="GF223" s="8"/>
      <c r="GG223" s="8"/>
      <c r="GH223" s="8"/>
      <c r="GI223" s="8"/>
      <c r="GJ223" s="8"/>
      <c r="GK223" s="8"/>
      <c r="GL223" s="8"/>
      <c r="GM223" s="8"/>
      <c r="GN223" s="8"/>
      <c r="GO223" s="8"/>
      <c r="GP223" s="8"/>
      <c r="GQ223" s="8"/>
      <c r="GR223" s="8"/>
      <c r="GS223" s="8"/>
      <c r="GT223" s="8"/>
      <c r="GU223" s="8"/>
      <c r="GV223" s="8"/>
      <c r="GW223" s="8"/>
      <c r="GX223" s="8"/>
      <c r="GY223" s="8"/>
      <c r="GZ223" s="8"/>
      <c r="HA223" s="8"/>
      <c r="HB223" s="8"/>
      <c r="HC223" s="8"/>
      <c r="HD223" s="8"/>
      <c r="HE223" s="8"/>
      <c r="HF223" s="8"/>
      <c r="HG223" s="8"/>
      <c r="HH223" s="8"/>
      <c r="HI223" s="8"/>
      <c r="HJ223" s="8"/>
      <c r="HK223" s="8"/>
      <c r="HL223" s="8"/>
      <c r="HM223" s="8"/>
      <c r="HN223" s="8"/>
      <c r="HO223" s="8"/>
      <c r="HP223" s="8"/>
      <c r="HQ223" s="8"/>
      <c r="HR223" s="8"/>
      <c r="HS223" s="8"/>
      <c r="HT223" s="8"/>
      <c r="HU223" s="8"/>
      <c r="HV223" s="8"/>
      <c r="HW223" s="8"/>
      <c r="HX223" s="8"/>
      <c r="HY223" s="8"/>
      <c r="HZ223" s="8"/>
      <c r="IA223" s="8"/>
      <c r="IB223" s="8"/>
      <c r="IC223" s="8"/>
      <c r="ID223" s="8"/>
    </row>
    <row r="224" spans="5:23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c r="EX224" s="8"/>
      <c r="EY224" s="8"/>
      <c r="EZ224" s="8"/>
      <c r="FA224" s="8"/>
      <c r="FB224" s="8"/>
      <c r="FC224" s="8"/>
      <c r="FD224" s="8"/>
      <c r="FE224" s="8"/>
      <c r="FF224" s="8"/>
      <c r="FG224" s="8"/>
      <c r="FH224" s="8"/>
      <c r="FI224" s="8"/>
      <c r="FJ224" s="8"/>
      <c r="FK224" s="8"/>
      <c r="FL224" s="8"/>
      <c r="FM224" s="8"/>
      <c r="FN224" s="8"/>
      <c r="FO224" s="8"/>
      <c r="FP224" s="8"/>
      <c r="FQ224" s="8"/>
      <c r="FR224" s="8"/>
      <c r="FS224" s="8"/>
      <c r="FT224" s="8"/>
      <c r="FU224" s="8"/>
      <c r="FV224" s="8"/>
      <c r="FW224" s="8"/>
      <c r="FX224" s="8"/>
      <c r="FY224" s="8"/>
      <c r="FZ224" s="8"/>
      <c r="GA224" s="8"/>
      <c r="GB224" s="8"/>
      <c r="GC224" s="8"/>
      <c r="GD224" s="8"/>
      <c r="GE224" s="8"/>
      <c r="GF224" s="8"/>
      <c r="GG224" s="8"/>
      <c r="GH224" s="8"/>
      <c r="GI224" s="8"/>
      <c r="GJ224" s="8"/>
      <c r="GK224" s="8"/>
      <c r="GL224" s="8"/>
      <c r="GM224" s="8"/>
      <c r="GN224" s="8"/>
      <c r="GO224" s="8"/>
      <c r="GP224" s="8"/>
      <c r="GQ224" s="8"/>
      <c r="GR224" s="8"/>
      <c r="GS224" s="8"/>
      <c r="GT224" s="8"/>
      <c r="GU224" s="8"/>
      <c r="GV224" s="8"/>
      <c r="GW224" s="8"/>
      <c r="GX224" s="8"/>
      <c r="GY224" s="8"/>
      <c r="GZ224" s="8"/>
      <c r="HA224" s="8"/>
      <c r="HB224" s="8"/>
      <c r="HC224" s="8"/>
      <c r="HD224" s="8"/>
      <c r="HE224" s="8"/>
      <c r="HF224" s="8"/>
      <c r="HG224" s="8"/>
      <c r="HH224" s="8"/>
      <c r="HI224" s="8"/>
      <c r="HJ224" s="8"/>
      <c r="HK224" s="8"/>
      <c r="HL224" s="8"/>
      <c r="HM224" s="8"/>
      <c r="HN224" s="8"/>
      <c r="HO224" s="8"/>
      <c r="HP224" s="8"/>
      <c r="HQ224" s="8"/>
      <c r="HR224" s="8"/>
      <c r="HS224" s="8"/>
      <c r="HT224" s="8"/>
      <c r="HU224" s="8"/>
      <c r="HV224" s="8"/>
      <c r="HW224" s="8"/>
      <c r="HX224" s="8"/>
      <c r="HY224" s="8"/>
      <c r="HZ224" s="8"/>
      <c r="IA224" s="8"/>
      <c r="IB224" s="8"/>
      <c r="IC224" s="8"/>
      <c r="ID224" s="8"/>
    </row>
    <row r="225" spans="5:23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c r="EQ225" s="8"/>
      <c r="ER225" s="8"/>
      <c r="ES225" s="8"/>
      <c r="ET225" s="8"/>
      <c r="EU225" s="8"/>
      <c r="EV225" s="8"/>
      <c r="EW225" s="8"/>
      <c r="EX225" s="8"/>
      <c r="EY225" s="8"/>
      <c r="EZ225" s="8"/>
      <c r="FA225" s="8"/>
      <c r="FB225" s="8"/>
      <c r="FC225" s="8"/>
      <c r="FD225" s="8"/>
      <c r="FE225" s="8"/>
      <c r="FF225" s="8"/>
      <c r="FG225" s="8"/>
      <c r="FH225" s="8"/>
      <c r="FI225" s="8"/>
      <c r="FJ225" s="8"/>
      <c r="FK225" s="8"/>
      <c r="FL225" s="8"/>
      <c r="FM225" s="8"/>
      <c r="FN225" s="8"/>
      <c r="FO225" s="8"/>
      <c r="FP225" s="8"/>
      <c r="FQ225" s="8"/>
      <c r="FR225" s="8"/>
      <c r="FS225" s="8"/>
      <c r="FT225" s="8"/>
      <c r="FU225" s="8"/>
      <c r="FV225" s="8"/>
      <c r="FW225" s="8"/>
      <c r="FX225" s="8"/>
      <c r="FY225" s="8"/>
      <c r="FZ225" s="8"/>
      <c r="GA225" s="8"/>
      <c r="GB225" s="8"/>
      <c r="GC225" s="8"/>
      <c r="GD225" s="8"/>
      <c r="GE225" s="8"/>
      <c r="GF225" s="8"/>
      <c r="GG225" s="8"/>
      <c r="GH225" s="8"/>
      <c r="GI225" s="8"/>
      <c r="GJ225" s="8"/>
      <c r="GK225" s="8"/>
      <c r="GL225" s="8"/>
      <c r="GM225" s="8"/>
      <c r="GN225" s="8"/>
      <c r="GO225" s="8"/>
      <c r="GP225" s="8"/>
      <c r="GQ225" s="8"/>
      <c r="GR225" s="8"/>
      <c r="GS225" s="8"/>
      <c r="GT225" s="8"/>
      <c r="GU225" s="8"/>
      <c r="GV225" s="8"/>
      <c r="GW225" s="8"/>
      <c r="GX225" s="8"/>
      <c r="GY225" s="8"/>
      <c r="GZ225" s="8"/>
      <c r="HA225" s="8"/>
      <c r="HB225" s="8"/>
      <c r="HC225" s="8"/>
      <c r="HD225" s="8"/>
      <c r="HE225" s="8"/>
      <c r="HF225" s="8"/>
      <c r="HG225" s="8"/>
      <c r="HH225" s="8"/>
      <c r="HI225" s="8"/>
      <c r="HJ225" s="8"/>
      <c r="HK225" s="8"/>
      <c r="HL225" s="8"/>
      <c r="HM225" s="8"/>
      <c r="HN225" s="8"/>
      <c r="HO225" s="8"/>
      <c r="HP225" s="8"/>
      <c r="HQ225" s="8"/>
      <c r="HR225" s="8"/>
      <c r="HS225" s="8"/>
      <c r="HT225" s="8"/>
      <c r="HU225" s="8"/>
      <c r="HV225" s="8"/>
      <c r="HW225" s="8"/>
      <c r="HX225" s="8"/>
      <c r="HY225" s="8"/>
      <c r="HZ225" s="8"/>
      <c r="IA225" s="8"/>
      <c r="IB225" s="8"/>
      <c r="IC225" s="8"/>
      <c r="ID225" s="8"/>
    </row>
    <row r="226" spans="5:23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c r="EX226" s="8"/>
      <c r="EY226" s="8"/>
      <c r="EZ226" s="8"/>
      <c r="FA226" s="8"/>
      <c r="FB226" s="8"/>
      <c r="FC226" s="8"/>
      <c r="FD226" s="8"/>
      <c r="FE226" s="8"/>
      <c r="FF226" s="8"/>
      <c r="FG226" s="8"/>
      <c r="FH226" s="8"/>
      <c r="FI226" s="8"/>
      <c r="FJ226" s="8"/>
      <c r="FK226" s="8"/>
      <c r="FL226" s="8"/>
      <c r="FM226" s="8"/>
      <c r="FN226" s="8"/>
      <c r="FO226" s="8"/>
      <c r="FP226" s="8"/>
      <c r="FQ226" s="8"/>
      <c r="FR226" s="8"/>
      <c r="FS226" s="8"/>
      <c r="FT226" s="8"/>
      <c r="FU226" s="8"/>
      <c r="FV226" s="8"/>
      <c r="FW226" s="8"/>
      <c r="FX226" s="8"/>
      <c r="FY226" s="8"/>
      <c r="FZ226" s="8"/>
      <c r="GA226" s="8"/>
      <c r="GB226" s="8"/>
      <c r="GC226" s="8"/>
      <c r="GD226" s="8"/>
      <c r="GE226" s="8"/>
      <c r="GF226" s="8"/>
      <c r="GG226" s="8"/>
      <c r="GH226" s="8"/>
      <c r="GI226" s="8"/>
      <c r="GJ226" s="8"/>
      <c r="GK226" s="8"/>
      <c r="GL226" s="8"/>
      <c r="GM226" s="8"/>
      <c r="GN226" s="8"/>
      <c r="GO226" s="8"/>
      <c r="GP226" s="8"/>
      <c r="GQ226" s="8"/>
      <c r="GR226" s="8"/>
      <c r="GS226" s="8"/>
      <c r="GT226" s="8"/>
      <c r="GU226" s="8"/>
      <c r="GV226" s="8"/>
      <c r="GW226" s="8"/>
      <c r="GX226" s="8"/>
      <c r="GY226" s="8"/>
      <c r="GZ226" s="8"/>
      <c r="HA226" s="8"/>
      <c r="HB226" s="8"/>
      <c r="HC226" s="8"/>
      <c r="HD226" s="8"/>
      <c r="HE226" s="8"/>
      <c r="HF226" s="8"/>
      <c r="HG226" s="8"/>
      <c r="HH226" s="8"/>
      <c r="HI226" s="8"/>
      <c r="HJ226" s="8"/>
      <c r="HK226" s="8"/>
      <c r="HL226" s="8"/>
      <c r="HM226" s="8"/>
      <c r="HN226" s="8"/>
      <c r="HO226" s="8"/>
      <c r="HP226" s="8"/>
      <c r="HQ226" s="8"/>
      <c r="HR226" s="8"/>
      <c r="HS226" s="8"/>
      <c r="HT226" s="8"/>
      <c r="HU226" s="8"/>
      <c r="HV226" s="8"/>
      <c r="HW226" s="8"/>
      <c r="HX226" s="8"/>
      <c r="HY226" s="8"/>
      <c r="HZ226" s="8"/>
      <c r="IA226" s="8"/>
      <c r="IB226" s="8"/>
      <c r="IC226" s="8"/>
      <c r="ID226" s="8"/>
    </row>
    <row r="227" spans="5:23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8"/>
      <c r="DZ227" s="8"/>
      <c r="EA227" s="8"/>
      <c r="EB227" s="8"/>
      <c r="EC227" s="8"/>
      <c r="ED227" s="8"/>
      <c r="EE227" s="8"/>
      <c r="EF227" s="8"/>
      <c r="EG227" s="8"/>
      <c r="EH227" s="8"/>
      <c r="EI227" s="8"/>
      <c r="EJ227" s="8"/>
      <c r="EK227" s="8"/>
      <c r="EL227" s="8"/>
      <c r="EM227" s="8"/>
      <c r="EN227" s="8"/>
      <c r="EO227" s="8"/>
      <c r="EP227" s="8"/>
      <c r="EQ227" s="8"/>
      <c r="ER227" s="8"/>
      <c r="ES227" s="8"/>
      <c r="ET227" s="8"/>
      <c r="EU227" s="8"/>
      <c r="EV227" s="8"/>
      <c r="EW227" s="8"/>
      <c r="EX227" s="8"/>
      <c r="EY227" s="8"/>
      <c r="EZ227" s="8"/>
      <c r="FA227" s="8"/>
      <c r="FB227" s="8"/>
      <c r="FC227" s="8"/>
      <c r="FD227" s="8"/>
      <c r="FE227" s="8"/>
      <c r="FF227" s="8"/>
      <c r="FG227" s="8"/>
      <c r="FH227" s="8"/>
      <c r="FI227" s="8"/>
      <c r="FJ227" s="8"/>
      <c r="FK227" s="8"/>
      <c r="FL227" s="8"/>
      <c r="FM227" s="8"/>
      <c r="FN227" s="8"/>
      <c r="FO227" s="8"/>
      <c r="FP227" s="8"/>
      <c r="FQ227" s="8"/>
      <c r="FR227" s="8"/>
      <c r="FS227" s="8"/>
      <c r="FT227" s="8"/>
      <c r="FU227" s="8"/>
      <c r="FV227" s="8"/>
      <c r="FW227" s="8"/>
      <c r="FX227" s="8"/>
      <c r="FY227" s="8"/>
      <c r="FZ227" s="8"/>
      <c r="GA227" s="8"/>
      <c r="GB227" s="8"/>
      <c r="GC227" s="8"/>
      <c r="GD227" s="8"/>
      <c r="GE227" s="8"/>
      <c r="GF227" s="8"/>
      <c r="GG227" s="8"/>
      <c r="GH227" s="8"/>
      <c r="GI227" s="8"/>
      <c r="GJ227" s="8"/>
      <c r="GK227" s="8"/>
      <c r="GL227" s="8"/>
      <c r="GM227" s="8"/>
      <c r="GN227" s="8"/>
      <c r="GO227" s="8"/>
      <c r="GP227" s="8"/>
      <c r="GQ227" s="8"/>
      <c r="GR227" s="8"/>
      <c r="GS227" s="8"/>
      <c r="GT227" s="8"/>
      <c r="GU227" s="8"/>
      <c r="GV227" s="8"/>
      <c r="GW227" s="8"/>
      <c r="GX227" s="8"/>
      <c r="GY227" s="8"/>
      <c r="GZ227" s="8"/>
      <c r="HA227" s="8"/>
      <c r="HB227" s="8"/>
      <c r="HC227" s="8"/>
      <c r="HD227" s="8"/>
      <c r="HE227" s="8"/>
      <c r="HF227" s="8"/>
      <c r="HG227" s="8"/>
      <c r="HH227" s="8"/>
      <c r="HI227" s="8"/>
      <c r="HJ227" s="8"/>
      <c r="HK227" s="8"/>
      <c r="HL227" s="8"/>
      <c r="HM227" s="8"/>
      <c r="HN227" s="8"/>
      <c r="HO227" s="8"/>
      <c r="HP227" s="8"/>
      <c r="HQ227" s="8"/>
      <c r="HR227" s="8"/>
      <c r="HS227" s="8"/>
      <c r="HT227" s="8"/>
      <c r="HU227" s="8"/>
      <c r="HV227" s="8"/>
      <c r="HW227" s="8"/>
      <c r="HX227" s="8"/>
      <c r="HY227" s="8"/>
      <c r="HZ227" s="8"/>
      <c r="IA227" s="8"/>
      <c r="IB227" s="8"/>
      <c r="IC227" s="8"/>
      <c r="ID227" s="8"/>
    </row>
    <row r="228" spans="5:23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c r="EQ228" s="8"/>
      <c r="ER228" s="8"/>
      <c r="ES228" s="8"/>
      <c r="ET228" s="8"/>
      <c r="EU228" s="8"/>
      <c r="EV228" s="8"/>
      <c r="EW228" s="8"/>
      <c r="EX228" s="8"/>
      <c r="EY228" s="8"/>
      <c r="EZ228" s="8"/>
      <c r="FA228" s="8"/>
      <c r="FB228" s="8"/>
      <c r="FC228" s="8"/>
      <c r="FD228" s="8"/>
      <c r="FE228" s="8"/>
      <c r="FF228" s="8"/>
      <c r="FG228" s="8"/>
      <c r="FH228" s="8"/>
      <c r="FI228" s="8"/>
      <c r="FJ228" s="8"/>
      <c r="FK228" s="8"/>
      <c r="FL228" s="8"/>
      <c r="FM228" s="8"/>
      <c r="FN228" s="8"/>
      <c r="FO228" s="8"/>
      <c r="FP228" s="8"/>
      <c r="FQ228" s="8"/>
      <c r="FR228" s="8"/>
      <c r="FS228" s="8"/>
      <c r="FT228" s="8"/>
      <c r="FU228" s="8"/>
      <c r="FV228" s="8"/>
      <c r="FW228" s="8"/>
      <c r="FX228" s="8"/>
      <c r="FY228" s="8"/>
      <c r="FZ228" s="8"/>
      <c r="GA228" s="8"/>
      <c r="GB228" s="8"/>
      <c r="GC228" s="8"/>
      <c r="GD228" s="8"/>
      <c r="GE228" s="8"/>
      <c r="GF228" s="8"/>
      <c r="GG228" s="8"/>
      <c r="GH228" s="8"/>
      <c r="GI228" s="8"/>
      <c r="GJ228" s="8"/>
      <c r="GK228" s="8"/>
      <c r="GL228" s="8"/>
      <c r="GM228" s="8"/>
      <c r="GN228" s="8"/>
      <c r="GO228" s="8"/>
      <c r="GP228" s="8"/>
      <c r="GQ228" s="8"/>
      <c r="GR228" s="8"/>
      <c r="GS228" s="8"/>
      <c r="GT228" s="8"/>
      <c r="GU228" s="8"/>
      <c r="GV228" s="8"/>
      <c r="GW228" s="8"/>
      <c r="GX228" s="8"/>
      <c r="GY228" s="8"/>
      <c r="GZ228" s="8"/>
      <c r="HA228" s="8"/>
      <c r="HB228" s="8"/>
      <c r="HC228" s="8"/>
      <c r="HD228" s="8"/>
      <c r="HE228" s="8"/>
      <c r="HF228" s="8"/>
      <c r="HG228" s="8"/>
      <c r="HH228" s="8"/>
      <c r="HI228" s="8"/>
      <c r="HJ228" s="8"/>
      <c r="HK228" s="8"/>
      <c r="HL228" s="8"/>
      <c r="HM228" s="8"/>
      <c r="HN228" s="8"/>
      <c r="HO228" s="8"/>
      <c r="HP228" s="8"/>
      <c r="HQ228" s="8"/>
      <c r="HR228" s="8"/>
      <c r="HS228" s="8"/>
      <c r="HT228" s="8"/>
      <c r="HU228" s="8"/>
      <c r="HV228" s="8"/>
      <c r="HW228" s="8"/>
      <c r="HX228" s="8"/>
      <c r="HY228" s="8"/>
      <c r="HZ228" s="8"/>
      <c r="IA228" s="8"/>
      <c r="IB228" s="8"/>
      <c r="IC228" s="8"/>
      <c r="ID228" s="8"/>
    </row>
    <row r="229" spans="5:23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c r="EX229" s="8"/>
      <c r="EY229" s="8"/>
      <c r="EZ229" s="8"/>
      <c r="FA229" s="8"/>
      <c r="FB229" s="8"/>
      <c r="FC229" s="8"/>
      <c r="FD229" s="8"/>
      <c r="FE229" s="8"/>
      <c r="FF229" s="8"/>
      <c r="FG229" s="8"/>
      <c r="FH229" s="8"/>
      <c r="FI229" s="8"/>
      <c r="FJ229" s="8"/>
      <c r="FK229" s="8"/>
      <c r="FL229" s="8"/>
      <c r="FM229" s="8"/>
      <c r="FN229" s="8"/>
      <c r="FO229" s="8"/>
      <c r="FP229" s="8"/>
      <c r="FQ229" s="8"/>
      <c r="FR229" s="8"/>
      <c r="FS229" s="8"/>
      <c r="FT229" s="8"/>
      <c r="FU229" s="8"/>
      <c r="FV229" s="8"/>
      <c r="FW229" s="8"/>
      <c r="FX229" s="8"/>
      <c r="FY229" s="8"/>
      <c r="FZ229" s="8"/>
      <c r="GA229" s="8"/>
      <c r="GB229" s="8"/>
      <c r="GC229" s="8"/>
      <c r="GD229" s="8"/>
      <c r="GE229" s="8"/>
      <c r="GF229" s="8"/>
      <c r="GG229" s="8"/>
      <c r="GH229" s="8"/>
      <c r="GI229" s="8"/>
      <c r="GJ229" s="8"/>
      <c r="GK229" s="8"/>
      <c r="GL229" s="8"/>
      <c r="GM229" s="8"/>
      <c r="GN229" s="8"/>
      <c r="GO229" s="8"/>
      <c r="GP229" s="8"/>
      <c r="GQ229" s="8"/>
      <c r="GR229" s="8"/>
      <c r="GS229" s="8"/>
      <c r="GT229" s="8"/>
      <c r="GU229" s="8"/>
      <c r="GV229" s="8"/>
      <c r="GW229" s="8"/>
      <c r="GX229" s="8"/>
      <c r="GY229" s="8"/>
      <c r="GZ229" s="8"/>
      <c r="HA229" s="8"/>
      <c r="HB229" s="8"/>
      <c r="HC229" s="8"/>
      <c r="HD229" s="8"/>
      <c r="HE229" s="8"/>
      <c r="HF229" s="8"/>
      <c r="HG229" s="8"/>
      <c r="HH229" s="8"/>
      <c r="HI229" s="8"/>
      <c r="HJ229" s="8"/>
      <c r="HK229" s="8"/>
      <c r="HL229" s="8"/>
      <c r="HM229" s="8"/>
      <c r="HN229" s="8"/>
      <c r="HO229" s="8"/>
      <c r="HP229" s="8"/>
      <c r="HQ229" s="8"/>
      <c r="HR229" s="8"/>
      <c r="HS229" s="8"/>
      <c r="HT229" s="8"/>
      <c r="HU229" s="8"/>
      <c r="HV229" s="8"/>
      <c r="HW229" s="8"/>
      <c r="HX229" s="8"/>
      <c r="HY229" s="8"/>
      <c r="HZ229" s="8"/>
      <c r="IA229" s="8"/>
      <c r="IB229" s="8"/>
      <c r="IC229" s="8"/>
      <c r="ID229" s="8"/>
    </row>
    <row r="230" spans="5:23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c r="FJ230" s="8"/>
      <c r="FK230" s="8"/>
      <c r="FL230" s="8"/>
      <c r="FM230" s="8"/>
      <c r="FN230" s="8"/>
      <c r="FO230" s="8"/>
      <c r="FP230" s="8"/>
      <c r="FQ230" s="8"/>
      <c r="FR230" s="8"/>
      <c r="FS230" s="8"/>
      <c r="FT230" s="8"/>
      <c r="FU230" s="8"/>
      <c r="FV230" s="8"/>
      <c r="FW230" s="8"/>
      <c r="FX230" s="8"/>
      <c r="FY230" s="8"/>
      <c r="FZ230" s="8"/>
      <c r="GA230" s="8"/>
      <c r="GB230" s="8"/>
      <c r="GC230" s="8"/>
      <c r="GD230" s="8"/>
      <c r="GE230" s="8"/>
      <c r="GF230" s="8"/>
      <c r="GG230" s="8"/>
      <c r="GH230" s="8"/>
      <c r="GI230" s="8"/>
      <c r="GJ230" s="8"/>
      <c r="GK230" s="8"/>
      <c r="GL230" s="8"/>
      <c r="GM230" s="8"/>
      <c r="GN230" s="8"/>
      <c r="GO230" s="8"/>
      <c r="GP230" s="8"/>
      <c r="GQ230" s="8"/>
      <c r="GR230" s="8"/>
      <c r="GS230" s="8"/>
      <c r="GT230" s="8"/>
      <c r="GU230" s="8"/>
      <c r="GV230" s="8"/>
      <c r="GW230" s="8"/>
      <c r="GX230" s="8"/>
      <c r="GY230" s="8"/>
      <c r="GZ230" s="8"/>
      <c r="HA230" s="8"/>
      <c r="HB230" s="8"/>
      <c r="HC230" s="8"/>
      <c r="HD230" s="8"/>
      <c r="HE230" s="8"/>
      <c r="HF230" s="8"/>
      <c r="HG230" s="8"/>
      <c r="HH230" s="8"/>
      <c r="HI230" s="8"/>
      <c r="HJ230" s="8"/>
      <c r="HK230" s="8"/>
      <c r="HL230" s="8"/>
      <c r="HM230" s="8"/>
      <c r="HN230" s="8"/>
      <c r="HO230" s="8"/>
      <c r="HP230" s="8"/>
      <c r="HQ230" s="8"/>
      <c r="HR230" s="8"/>
      <c r="HS230" s="8"/>
      <c r="HT230" s="8"/>
      <c r="HU230" s="8"/>
      <c r="HV230" s="8"/>
      <c r="HW230" s="8"/>
      <c r="HX230" s="8"/>
      <c r="HY230" s="8"/>
      <c r="HZ230" s="8"/>
      <c r="IA230" s="8"/>
      <c r="IB230" s="8"/>
      <c r="IC230" s="8"/>
      <c r="ID230" s="8"/>
    </row>
    <row r="231" spans="5:23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c r="EZ231" s="8"/>
      <c r="FA231" s="8"/>
      <c r="FB231" s="8"/>
      <c r="FC231" s="8"/>
      <c r="FD231" s="8"/>
      <c r="FE231" s="8"/>
      <c r="FF231" s="8"/>
      <c r="FG231" s="8"/>
      <c r="FH231" s="8"/>
      <c r="FI231" s="8"/>
      <c r="FJ231" s="8"/>
      <c r="FK231" s="8"/>
      <c r="FL231" s="8"/>
      <c r="FM231" s="8"/>
      <c r="FN231" s="8"/>
      <c r="FO231" s="8"/>
      <c r="FP231" s="8"/>
      <c r="FQ231" s="8"/>
      <c r="FR231" s="8"/>
      <c r="FS231" s="8"/>
      <c r="FT231" s="8"/>
      <c r="FU231" s="8"/>
      <c r="FV231" s="8"/>
      <c r="FW231" s="8"/>
      <c r="FX231" s="8"/>
      <c r="FY231" s="8"/>
      <c r="FZ231" s="8"/>
      <c r="GA231" s="8"/>
      <c r="GB231" s="8"/>
      <c r="GC231" s="8"/>
      <c r="GD231" s="8"/>
      <c r="GE231" s="8"/>
      <c r="GF231" s="8"/>
      <c r="GG231" s="8"/>
      <c r="GH231" s="8"/>
      <c r="GI231" s="8"/>
      <c r="GJ231" s="8"/>
      <c r="GK231" s="8"/>
      <c r="GL231" s="8"/>
      <c r="GM231" s="8"/>
      <c r="GN231" s="8"/>
      <c r="GO231" s="8"/>
      <c r="GP231" s="8"/>
      <c r="GQ231" s="8"/>
      <c r="GR231" s="8"/>
      <c r="GS231" s="8"/>
      <c r="GT231" s="8"/>
      <c r="GU231" s="8"/>
      <c r="GV231" s="8"/>
      <c r="GW231" s="8"/>
      <c r="GX231" s="8"/>
      <c r="GY231" s="8"/>
      <c r="GZ231" s="8"/>
      <c r="HA231" s="8"/>
      <c r="HB231" s="8"/>
      <c r="HC231" s="8"/>
      <c r="HD231" s="8"/>
      <c r="HE231" s="8"/>
      <c r="HF231" s="8"/>
      <c r="HG231" s="8"/>
      <c r="HH231" s="8"/>
      <c r="HI231" s="8"/>
      <c r="HJ231" s="8"/>
      <c r="HK231" s="8"/>
      <c r="HL231" s="8"/>
      <c r="HM231" s="8"/>
      <c r="HN231" s="8"/>
      <c r="HO231" s="8"/>
      <c r="HP231" s="8"/>
      <c r="HQ231" s="8"/>
      <c r="HR231" s="8"/>
      <c r="HS231" s="8"/>
      <c r="HT231" s="8"/>
      <c r="HU231" s="8"/>
      <c r="HV231" s="8"/>
      <c r="HW231" s="8"/>
      <c r="HX231" s="8"/>
      <c r="HY231" s="8"/>
      <c r="HZ231" s="8"/>
      <c r="IA231" s="8"/>
      <c r="IB231" s="8"/>
      <c r="IC231" s="8"/>
      <c r="ID231" s="8"/>
    </row>
    <row r="232" spans="5:23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c r="EZ232" s="8"/>
      <c r="FA232" s="8"/>
      <c r="FB232" s="8"/>
      <c r="FC232" s="8"/>
      <c r="FD232" s="8"/>
      <c r="FE232" s="8"/>
      <c r="FF232" s="8"/>
      <c r="FG232" s="8"/>
      <c r="FH232" s="8"/>
      <c r="FI232" s="8"/>
      <c r="FJ232" s="8"/>
      <c r="FK232" s="8"/>
      <c r="FL232" s="8"/>
      <c r="FM232" s="8"/>
      <c r="FN232" s="8"/>
      <c r="FO232" s="8"/>
      <c r="FP232" s="8"/>
      <c r="FQ232" s="8"/>
      <c r="FR232" s="8"/>
      <c r="FS232" s="8"/>
      <c r="FT232" s="8"/>
      <c r="FU232" s="8"/>
      <c r="FV232" s="8"/>
      <c r="FW232" s="8"/>
      <c r="FX232" s="8"/>
      <c r="FY232" s="8"/>
      <c r="FZ232" s="8"/>
      <c r="GA232" s="8"/>
      <c r="GB232" s="8"/>
      <c r="GC232" s="8"/>
      <c r="GD232" s="8"/>
      <c r="GE232" s="8"/>
      <c r="GF232" s="8"/>
      <c r="GG232" s="8"/>
      <c r="GH232" s="8"/>
      <c r="GI232" s="8"/>
      <c r="GJ232" s="8"/>
      <c r="GK232" s="8"/>
      <c r="GL232" s="8"/>
      <c r="GM232" s="8"/>
      <c r="GN232" s="8"/>
      <c r="GO232" s="8"/>
      <c r="GP232" s="8"/>
      <c r="GQ232" s="8"/>
      <c r="GR232" s="8"/>
      <c r="GS232" s="8"/>
      <c r="GT232" s="8"/>
      <c r="GU232" s="8"/>
      <c r="GV232" s="8"/>
      <c r="GW232" s="8"/>
      <c r="GX232" s="8"/>
      <c r="GY232" s="8"/>
      <c r="GZ232" s="8"/>
      <c r="HA232" s="8"/>
      <c r="HB232" s="8"/>
      <c r="HC232" s="8"/>
      <c r="HD232" s="8"/>
      <c r="HE232" s="8"/>
      <c r="HF232" s="8"/>
      <c r="HG232" s="8"/>
      <c r="HH232" s="8"/>
      <c r="HI232" s="8"/>
      <c r="HJ232" s="8"/>
      <c r="HK232" s="8"/>
      <c r="HL232" s="8"/>
      <c r="HM232" s="8"/>
      <c r="HN232" s="8"/>
      <c r="HO232" s="8"/>
      <c r="HP232" s="8"/>
      <c r="HQ232" s="8"/>
      <c r="HR232" s="8"/>
      <c r="HS232" s="8"/>
      <c r="HT232" s="8"/>
      <c r="HU232" s="8"/>
      <c r="HV232" s="8"/>
      <c r="HW232" s="8"/>
      <c r="HX232" s="8"/>
      <c r="HY232" s="8"/>
      <c r="HZ232" s="8"/>
      <c r="IA232" s="8"/>
      <c r="IB232" s="8"/>
      <c r="IC232" s="8"/>
      <c r="ID232" s="8"/>
    </row>
    <row r="233" spans="5:23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8"/>
      <c r="GV233" s="8"/>
      <c r="GW233" s="8"/>
      <c r="GX233" s="8"/>
      <c r="GY233" s="8"/>
      <c r="GZ233" s="8"/>
      <c r="HA233" s="8"/>
      <c r="HB233" s="8"/>
      <c r="HC233" s="8"/>
      <c r="HD233" s="8"/>
      <c r="HE233" s="8"/>
      <c r="HF233" s="8"/>
      <c r="HG233" s="8"/>
      <c r="HH233" s="8"/>
      <c r="HI233" s="8"/>
      <c r="HJ233" s="8"/>
      <c r="HK233" s="8"/>
      <c r="HL233" s="8"/>
      <c r="HM233" s="8"/>
      <c r="HN233" s="8"/>
      <c r="HO233" s="8"/>
      <c r="HP233" s="8"/>
      <c r="HQ233" s="8"/>
      <c r="HR233" s="8"/>
      <c r="HS233" s="8"/>
      <c r="HT233" s="8"/>
      <c r="HU233" s="8"/>
      <c r="HV233" s="8"/>
      <c r="HW233" s="8"/>
      <c r="HX233" s="8"/>
      <c r="HY233" s="8"/>
      <c r="HZ233" s="8"/>
      <c r="IA233" s="8"/>
      <c r="IB233" s="8"/>
      <c r="IC233" s="8"/>
      <c r="ID233" s="8"/>
    </row>
    <row r="234" spans="5:23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c r="FJ234" s="8"/>
      <c r="FK234" s="8"/>
      <c r="FL234" s="8"/>
      <c r="FM234" s="8"/>
      <c r="FN234" s="8"/>
      <c r="FO234" s="8"/>
      <c r="FP234" s="8"/>
      <c r="FQ234" s="8"/>
      <c r="FR234" s="8"/>
      <c r="FS234" s="8"/>
      <c r="FT234" s="8"/>
      <c r="FU234" s="8"/>
      <c r="FV234" s="8"/>
      <c r="FW234" s="8"/>
      <c r="FX234" s="8"/>
      <c r="FY234" s="8"/>
      <c r="FZ234" s="8"/>
      <c r="GA234" s="8"/>
      <c r="GB234" s="8"/>
      <c r="GC234" s="8"/>
      <c r="GD234" s="8"/>
      <c r="GE234" s="8"/>
      <c r="GF234" s="8"/>
      <c r="GG234" s="8"/>
      <c r="GH234" s="8"/>
      <c r="GI234" s="8"/>
      <c r="GJ234" s="8"/>
      <c r="GK234" s="8"/>
      <c r="GL234" s="8"/>
      <c r="GM234" s="8"/>
      <c r="GN234" s="8"/>
      <c r="GO234" s="8"/>
      <c r="GP234" s="8"/>
      <c r="GQ234" s="8"/>
      <c r="GR234" s="8"/>
      <c r="GS234" s="8"/>
      <c r="GT234" s="8"/>
      <c r="GU234" s="8"/>
      <c r="GV234" s="8"/>
      <c r="GW234" s="8"/>
      <c r="GX234" s="8"/>
      <c r="GY234" s="8"/>
      <c r="GZ234" s="8"/>
      <c r="HA234" s="8"/>
      <c r="HB234" s="8"/>
      <c r="HC234" s="8"/>
      <c r="HD234" s="8"/>
      <c r="HE234" s="8"/>
      <c r="HF234" s="8"/>
      <c r="HG234" s="8"/>
      <c r="HH234" s="8"/>
      <c r="HI234" s="8"/>
      <c r="HJ234" s="8"/>
      <c r="HK234" s="8"/>
      <c r="HL234" s="8"/>
      <c r="HM234" s="8"/>
      <c r="HN234" s="8"/>
      <c r="HO234" s="8"/>
      <c r="HP234" s="8"/>
      <c r="HQ234" s="8"/>
      <c r="HR234" s="8"/>
      <c r="HS234" s="8"/>
      <c r="HT234" s="8"/>
      <c r="HU234" s="8"/>
      <c r="HV234" s="8"/>
      <c r="HW234" s="8"/>
      <c r="HX234" s="8"/>
      <c r="HY234" s="8"/>
      <c r="HZ234" s="8"/>
      <c r="IA234" s="8"/>
      <c r="IB234" s="8"/>
      <c r="IC234" s="8"/>
      <c r="ID234" s="8"/>
    </row>
    <row r="235" spans="5:23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c r="EJ235" s="8"/>
      <c r="EK235" s="8"/>
      <c r="EL235" s="8"/>
      <c r="EM235" s="8"/>
      <c r="EN235" s="8"/>
      <c r="EO235" s="8"/>
      <c r="EP235" s="8"/>
      <c r="EQ235" s="8"/>
      <c r="ER235" s="8"/>
      <c r="ES235" s="8"/>
      <c r="ET235" s="8"/>
      <c r="EU235" s="8"/>
      <c r="EV235" s="8"/>
      <c r="EW235" s="8"/>
      <c r="EX235" s="8"/>
      <c r="EY235" s="8"/>
      <c r="EZ235" s="8"/>
      <c r="FA235" s="8"/>
      <c r="FB235" s="8"/>
      <c r="FC235" s="8"/>
      <c r="FD235" s="8"/>
      <c r="FE235" s="8"/>
      <c r="FF235" s="8"/>
      <c r="FG235" s="8"/>
      <c r="FH235" s="8"/>
      <c r="FI235" s="8"/>
      <c r="FJ235" s="8"/>
      <c r="FK235" s="8"/>
      <c r="FL235" s="8"/>
      <c r="FM235" s="8"/>
      <c r="FN235" s="8"/>
      <c r="FO235" s="8"/>
      <c r="FP235" s="8"/>
      <c r="FQ235" s="8"/>
      <c r="FR235" s="8"/>
      <c r="FS235" s="8"/>
      <c r="FT235" s="8"/>
      <c r="FU235" s="8"/>
      <c r="FV235" s="8"/>
      <c r="FW235" s="8"/>
      <c r="FX235" s="8"/>
      <c r="FY235" s="8"/>
      <c r="FZ235" s="8"/>
      <c r="GA235" s="8"/>
      <c r="GB235" s="8"/>
      <c r="GC235" s="8"/>
      <c r="GD235" s="8"/>
      <c r="GE235" s="8"/>
      <c r="GF235" s="8"/>
      <c r="GG235" s="8"/>
      <c r="GH235" s="8"/>
      <c r="GI235" s="8"/>
      <c r="GJ235" s="8"/>
      <c r="GK235" s="8"/>
      <c r="GL235" s="8"/>
      <c r="GM235" s="8"/>
      <c r="GN235" s="8"/>
      <c r="GO235" s="8"/>
      <c r="GP235" s="8"/>
      <c r="GQ235" s="8"/>
      <c r="GR235" s="8"/>
      <c r="GS235" s="8"/>
      <c r="GT235" s="8"/>
      <c r="GU235" s="8"/>
      <c r="GV235" s="8"/>
      <c r="GW235" s="8"/>
      <c r="GX235" s="8"/>
      <c r="GY235" s="8"/>
      <c r="GZ235" s="8"/>
      <c r="HA235" s="8"/>
      <c r="HB235" s="8"/>
      <c r="HC235" s="8"/>
      <c r="HD235" s="8"/>
      <c r="HE235" s="8"/>
      <c r="HF235" s="8"/>
      <c r="HG235" s="8"/>
      <c r="HH235" s="8"/>
      <c r="HI235" s="8"/>
      <c r="HJ235" s="8"/>
      <c r="HK235" s="8"/>
      <c r="HL235" s="8"/>
      <c r="HM235" s="8"/>
      <c r="HN235" s="8"/>
      <c r="HO235" s="8"/>
      <c r="HP235" s="8"/>
      <c r="HQ235" s="8"/>
      <c r="HR235" s="8"/>
      <c r="HS235" s="8"/>
      <c r="HT235" s="8"/>
      <c r="HU235" s="8"/>
      <c r="HV235" s="8"/>
      <c r="HW235" s="8"/>
      <c r="HX235" s="8"/>
      <c r="HY235" s="8"/>
      <c r="HZ235" s="8"/>
      <c r="IA235" s="8"/>
      <c r="IB235" s="8"/>
      <c r="IC235" s="8"/>
      <c r="ID235" s="8"/>
    </row>
    <row r="236" spans="5:23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c r="EA236" s="8"/>
      <c r="EB236" s="8"/>
      <c r="EC236" s="8"/>
      <c r="ED236" s="8"/>
      <c r="EE236" s="8"/>
      <c r="EF236" s="8"/>
      <c r="EG236" s="8"/>
      <c r="EH236" s="8"/>
      <c r="EI236" s="8"/>
      <c r="EJ236" s="8"/>
      <c r="EK236" s="8"/>
      <c r="EL236" s="8"/>
      <c r="EM236" s="8"/>
      <c r="EN236" s="8"/>
      <c r="EO236" s="8"/>
      <c r="EP236" s="8"/>
      <c r="EQ236" s="8"/>
      <c r="ER236" s="8"/>
      <c r="ES236" s="8"/>
      <c r="ET236" s="8"/>
      <c r="EU236" s="8"/>
      <c r="EV236" s="8"/>
      <c r="EW236" s="8"/>
      <c r="EX236" s="8"/>
      <c r="EY236" s="8"/>
      <c r="EZ236" s="8"/>
      <c r="FA236" s="8"/>
      <c r="FB236" s="8"/>
      <c r="FC236" s="8"/>
      <c r="FD236" s="8"/>
      <c r="FE236" s="8"/>
      <c r="FF236" s="8"/>
      <c r="FG236" s="8"/>
      <c r="FH236" s="8"/>
      <c r="FI236" s="8"/>
      <c r="FJ236" s="8"/>
      <c r="FK236" s="8"/>
      <c r="FL236" s="8"/>
      <c r="FM236" s="8"/>
      <c r="FN236" s="8"/>
      <c r="FO236" s="8"/>
      <c r="FP236" s="8"/>
      <c r="FQ236" s="8"/>
      <c r="FR236" s="8"/>
      <c r="FS236" s="8"/>
      <c r="FT236" s="8"/>
      <c r="FU236" s="8"/>
      <c r="FV236" s="8"/>
      <c r="FW236" s="8"/>
      <c r="FX236" s="8"/>
      <c r="FY236" s="8"/>
      <c r="FZ236" s="8"/>
      <c r="GA236" s="8"/>
      <c r="GB236" s="8"/>
      <c r="GC236" s="8"/>
      <c r="GD236" s="8"/>
      <c r="GE236" s="8"/>
      <c r="GF236" s="8"/>
      <c r="GG236" s="8"/>
      <c r="GH236" s="8"/>
      <c r="GI236" s="8"/>
      <c r="GJ236" s="8"/>
      <c r="GK236" s="8"/>
      <c r="GL236" s="8"/>
      <c r="GM236" s="8"/>
      <c r="GN236" s="8"/>
      <c r="GO236" s="8"/>
      <c r="GP236" s="8"/>
      <c r="GQ236" s="8"/>
      <c r="GR236" s="8"/>
      <c r="GS236" s="8"/>
      <c r="GT236" s="8"/>
      <c r="GU236" s="8"/>
      <c r="GV236" s="8"/>
      <c r="GW236" s="8"/>
      <c r="GX236" s="8"/>
      <c r="GY236" s="8"/>
      <c r="GZ236" s="8"/>
      <c r="HA236" s="8"/>
      <c r="HB236" s="8"/>
      <c r="HC236" s="8"/>
      <c r="HD236" s="8"/>
      <c r="HE236" s="8"/>
      <c r="HF236" s="8"/>
      <c r="HG236" s="8"/>
      <c r="HH236" s="8"/>
      <c r="HI236" s="8"/>
      <c r="HJ236" s="8"/>
      <c r="HK236" s="8"/>
      <c r="HL236" s="8"/>
      <c r="HM236" s="8"/>
      <c r="HN236" s="8"/>
      <c r="HO236" s="8"/>
      <c r="HP236" s="8"/>
      <c r="HQ236" s="8"/>
      <c r="HR236" s="8"/>
      <c r="HS236" s="8"/>
      <c r="HT236" s="8"/>
      <c r="HU236" s="8"/>
      <c r="HV236" s="8"/>
      <c r="HW236" s="8"/>
      <c r="HX236" s="8"/>
      <c r="HY236" s="8"/>
      <c r="HZ236" s="8"/>
      <c r="IA236" s="8"/>
      <c r="IB236" s="8"/>
      <c r="IC236" s="8"/>
      <c r="ID236" s="8"/>
    </row>
    <row r="237" spans="5:23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c r="DX237" s="8"/>
      <c r="DY237" s="8"/>
      <c r="DZ237" s="8"/>
      <c r="EA237" s="8"/>
      <c r="EB237" s="8"/>
      <c r="EC237" s="8"/>
      <c r="ED237" s="8"/>
      <c r="EE237" s="8"/>
      <c r="EF237" s="8"/>
      <c r="EG237" s="8"/>
      <c r="EH237" s="8"/>
      <c r="EI237" s="8"/>
      <c r="EJ237" s="8"/>
      <c r="EK237" s="8"/>
      <c r="EL237" s="8"/>
      <c r="EM237" s="8"/>
      <c r="EN237" s="8"/>
      <c r="EO237" s="8"/>
      <c r="EP237" s="8"/>
      <c r="EQ237" s="8"/>
      <c r="ER237" s="8"/>
      <c r="ES237" s="8"/>
      <c r="ET237" s="8"/>
      <c r="EU237" s="8"/>
      <c r="EV237" s="8"/>
      <c r="EW237" s="8"/>
      <c r="EX237" s="8"/>
      <c r="EY237" s="8"/>
      <c r="EZ237" s="8"/>
      <c r="FA237" s="8"/>
      <c r="FB237" s="8"/>
      <c r="FC237" s="8"/>
      <c r="FD237" s="8"/>
      <c r="FE237" s="8"/>
      <c r="FF237" s="8"/>
      <c r="FG237" s="8"/>
      <c r="FH237" s="8"/>
      <c r="FI237" s="8"/>
      <c r="FJ237" s="8"/>
      <c r="FK237" s="8"/>
      <c r="FL237" s="8"/>
      <c r="FM237" s="8"/>
      <c r="FN237" s="8"/>
      <c r="FO237" s="8"/>
      <c r="FP237" s="8"/>
      <c r="FQ237" s="8"/>
      <c r="FR237" s="8"/>
      <c r="FS237" s="8"/>
      <c r="FT237" s="8"/>
      <c r="FU237" s="8"/>
      <c r="FV237" s="8"/>
      <c r="FW237" s="8"/>
      <c r="FX237" s="8"/>
      <c r="FY237" s="8"/>
      <c r="FZ237" s="8"/>
      <c r="GA237" s="8"/>
      <c r="GB237" s="8"/>
      <c r="GC237" s="8"/>
      <c r="GD237" s="8"/>
      <c r="GE237" s="8"/>
      <c r="GF237" s="8"/>
      <c r="GG237" s="8"/>
      <c r="GH237" s="8"/>
      <c r="GI237" s="8"/>
      <c r="GJ237" s="8"/>
      <c r="GK237" s="8"/>
      <c r="GL237" s="8"/>
      <c r="GM237" s="8"/>
      <c r="GN237" s="8"/>
      <c r="GO237" s="8"/>
      <c r="GP237" s="8"/>
      <c r="GQ237" s="8"/>
      <c r="GR237" s="8"/>
      <c r="GS237" s="8"/>
      <c r="GT237" s="8"/>
      <c r="GU237" s="8"/>
      <c r="GV237" s="8"/>
      <c r="GW237" s="8"/>
      <c r="GX237" s="8"/>
      <c r="GY237" s="8"/>
      <c r="GZ237" s="8"/>
      <c r="HA237" s="8"/>
      <c r="HB237" s="8"/>
      <c r="HC237" s="8"/>
      <c r="HD237" s="8"/>
      <c r="HE237" s="8"/>
      <c r="HF237" s="8"/>
      <c r="HG237" s="8"/>
      <c r="HH237" s="8"/>
      <c r="HI237" s="8"/>
      <c r="HJ237" s="8"/>
      <c r="HK237" s="8"/>
      <c r="HL237" s="8"/>
      <c r="HM237" s="8"/>
      <c r="HN237" s="8"/>
      <c r="HO237" s="8"/>
      <c r="HP237" s="8"/>
      <c r="HQ237" s="8"/>
      <c r="HR237" s="8"/>
      <c r="HS237" s="8"/>
      <c r="HT237" s="8"/>
      <c r="HU237" s="8"/>
      <c r="HV237" s="8"/>
      <c r="HW237" s="8"/>
      <c r="HX237" s="8"/>
      <c r="HY237" s="8"/>
      <c r="HZ237" s="8"/>
      <c r="IA237" s="8"/>
      <c r="IB237" s="8"/>
      <c r="IC237" s="8"/>
      <c r="ID237" s="8"/>
    </row>
    <row r="238" spans="5:23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c r="DX238" s="8"/>
      <c r="DY238" s="8"/>
      <c r="DZ238" s="8"/>
      <c r="EA238" s="8"/>
      <c r="EB238" s="8"/>
      <c r="EC238" s="8"/>
      <c r="ED238" s="8"/>
      <c r="EE238" s="8"/>
      <c r="EF238" s="8"/>
      <c r="EG238" s="8"/>
      <c r="EH238" s="8"/>
      <c r="EI238" s="8"/>
      <c r="EJ238" s="8"/>
      <c r="EK238" s="8"/>
      <c r="EL238" s="8"/>
      <c r="EM238" s="8"/>
      <c r="EN238" s="8"/>
      <c r="EO238" s="8"/>
      <c r="EP238" s="8"/>
      <c r="EQ238" s="8"/>
      <c r="ER238" s="8"/>
      <c r="ES238" s="8"/>
      <c r="ET238" s="8"/>
      <c r="EU238" s="8"/>
      <c r="EV238" s="8"/>
      <c r="EW238" s="8"/>
      <c r="EX238" s="8"/>
      <c r="EY238" s="8"/>
      <c r="EZ238" s="8"/>
      <c r="FA238" s="8"/>
      <c r="FB238" s="8"/>
      <c r="FC238" s="8"/>
      <c r="FD238" s="8"/>
      <c r="FE238" s="8"/>
      <c r="FF238" s="8"/>
      <c r="FG238" s="8"/>
      <c r="FH238" s="8"/>
      <c r="FI238" s="8"/>
      <c r="FJ238" s="8"/>
      <c r="FK238" s="8"/>
      <c r="FL238" s="8"/>
      <c r="FM238" s="8"/>
      <c r="FN238" s="8"/>
      <c r="FO238" s="8"/>
      <c r="FP238" s="8"/>
      <c r="FQ238" s="8"/>
      <c r="FR238" s="8"/>
      <c r="FS238" s="8"/>
      <c r="FT238" s="8"/>
      <c r="FU238" s="8"/>
      <c r="FV238" s="8"/>
      <c r="FW238" s="8"/>
      <c r="FX238" s="8"/>
      <c r="FY238" s="8"/>
      <c r="FZ238" s="8"/>
      <c r="GA238" s="8"/>
      <c r="GB238" s="8"/>
      <c r="GC238" s="8"/>
      <c r="GD238" s="8"/>
      <c r="GE238" s="8"/>
      <c r="GF238" s="8"/>
      <c r="GG238" s="8"/>
      <c r="GH238" s="8"/>
      <c r="GI238" s="8"/>
      <c r="GJ238" s="8"/>
      <c r="GK238" s="8"/>
      <c r="GL238" s="8"/>
      <c r="GM238" s="8"/>
      <c r="GN238" s="8"/>
      <c r="GO238" s="8"/>
      <c r="GP238" s="8"/>
      <c r="GQ238" s="8"/>
      <c r="GR238" s="8"/>
      <c r="GS238" s="8"/>
      <c r="GT238" s="8"/>
      <c r="GU238" s="8"/>
      <c r="GV238" s="8"/>
      <c r="GW238" s="8"/>
      <c r="GX238" s="8"/>
      <c r="GY238" s="8"/>
      <c r="GZ238" s="8"/>
      <c r="HA238" s="8"/>
      <c r="HB238" s="8"/>
      <c r="HC238" s="8"/>
      <c r="HD238" s="8"/>
      <c r="HE238" s="8"/>
      <c r="HF238" s="8"/>
      <c r="HG238" s="8"/>
      <c r="HH238" s="8"/>
      <c r="HI238" s="8"/>
      <c r="HJ238" s="8"/>
      <c r="HK238" s="8"/>
      <c r="HL238" s="8"/>
      <c r="HM238" s="8"/>
      <c r="HN238" s="8"/>
      <c r="HO238" s="8"/>
      <c r="HP238" s="8"/>
      <c r="HQ238" s="8"/>
      <c r="HR238" s="8"/>
      <c r="HS238" s="8"/>
      <c r="HT238" s="8"/>
      <c r="HU238" s="8"/>
      <c r="HV238" s="8"/>
      <c r="HW238" s="8"/>
      <c r="HX238" s="8"/>
      <c r="HY238" s="8"/>
      <c r="HZ238" s="8"/>
      <c r="IA238" s="8"/>
      <c r="IB238" s="8"/>
      <c r="IC238" s="8"/>
      <c r="ID238" s="8"/>
    </row>
    <row r="239" spans="5:23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c r="EQ239" s="8"/>
      <c r="ER239" s="8"/>
      <c r="ES239" s="8"/>
      <c r="ET239" s="8"/>
      <c r="EU239" s="8"/>
      <c r="EV239" s="8"/>
      <c r="EW239" s="8"/>
      <c r="EX239" s="8"/>
      <c r="EY239" s="8"/>
      <c r="EZ239" s="8"/>
      <c r="FA239" s="8"/>
      <c r="FB239" s="8"/>
      <c r="FC239" s="8"/>
      <c r="FD239" s="8"/>
      <c r="FE239" s="8"/>
      <c r="FF239" s="8"/>
      <c r="FG239" s="8"/>
      <c r="FH239" s="8"/>
      <c r="FI239" s="8"/>
      <c r="FJ239" s="8"/>
      <c r="FK239" s="8"/>
      <c r="FL239" s="8"/>
      <c r="FM239" s="8"/>
      <c r="FN239" s="8"/>
      <c r="FO239" s="8"/>
      <c r="FP239" s="8"/>
      <c r="FQ239" s="8"/>
      <c r="FR239" s="8"/>
      <c r="FS239" s="8"/>
      <c r="FT239" s="8"/>
      <c r="FU239" s="8"/>
      <c r="FV239" s="8"/>
      <c r="FW239" s="8"/>
      <c r="FX239" s="8"/>
      <c r="FY239" s="8"/>
      <c r="FZ239" s="8"/>
      <c r="GA239" s="8"/>
      <c r="GB239" s="8"/>
      <c r="GC239" s="8"/>
      <c r="GD239" s="8"/>
      <c r="GE239" s="8"/>
      <c r="GF239" s="8"/>
      <c r="GG239" s="8"/>
      <c r="GH239" s="8"/>
      <c r="GI239" s="8"/>
      <c r="GJ239" s="8"/>
      <c r="GK239" s="8"/>
      <c r="GL239" s="8"/>
      <c r="GM239" s="8"/>
      <c r="GN239" s="8"/>
      <c r="GO239" s="8"/>
      <c r="GP239" s="8"/>
      <c r="GQ239" s="8"/>
      <c r="GR239" s="8"/>
      <c r="GS239" s="8"/>
      <c r="GT239" s="8"/>
      <c r="GU239" s="8"/>
      <c r="GV239" s="8"/>
      <c r="GW239" s="8"/>
      <c r="GX239" s="8"/>
      <c r="GY239" s="8"/>
      <c r="GZ239" s="8"/>
      <c r="HA239" s="8"/>
      <c r="HB239" s="8"/>
      <c r="HC239" s="8"/>
      <c r="HD239" s="8"/>
      <c r="HE239" s="8"/>
      <c r="HF239" s="8"/>
      <c r="HG239" s="8"/>
      <c r="HH239" s="8"/>
      <c r="HI239" s="8"/>
      <c r="HJ239" s="8"/>
      <c r="HK239" s="8"/>
      <c r="HL239" s="8"/>
      <c r="HM239" s="8"/>
      <c r="HN239" s="8"/>
      <c r="HO239" s="8"/>
      <c r="HP239" s="8"/>
      <c r="HQ239" s="8"/>
      <c r="HR239" s="8"/>
      <c r="HS239" s="8"/>
      <c r="HT239" s="8"/>
      <c r="HU239" s="8"/>
      <c r="HV239" s="8"/>
      <c r="HW239" s="8"/>
      <c r="HX239" s="8"/>
      <c r="HY239" s="8"/>
      <c r="HZ239" s="8"/>
      <c r="IA239" s="8"/>
      <c r="IB239" s="8"/>
      <c r="IC239" s="8"/>
      <c r="ID239" s="8"/>
    </row>
    <row r="240" spans="5:23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c r="EQ240" s="8"/>
      <c r="ER240" s="8"/>
      <c r="ES240" s="8"/>
      <c r="ET240" s="8"/>
      <c r="EU240" s="8"/>
      <c r="EV240" s="8"/>
      <c r="EW240" s="8"/>
      <c r="EX240" s="8"/>
      <c r="EY240" s="8"/>
      <c r="EZ240" s="8"/>
      <c r="FA240" s="8"/>
      <c r="FB240" s="8"/>
      <c r="FC240" s="8"/>
      <c r="FD240" s="8"/>
      <c r="FE240" s="8"/>
      <c r="FF240" s="8"/>
      <c r="FG240" s="8"/>
      <c r="FH240" s="8"/>
      <c r="FI240" s="8"/>
      <c r="FJ240" s="8"/>
      <c r="FK240" s="8"/>
      <c r="FL240" s="8"/>
      <c r="FM240" s="8"/>
      <c r="FN240" s="8"/>
      <c r="FO240" s="8"/>
      <c r="FP240" s="8"/>
      <c r="FQ240" s="8"/>
      <c r="FR240" s="8"/>
      <c r="FS240" s="8"/>
      <c r="FT240" s="8"/>
      <c r="FU240" s="8"/>
      <c r="FV240" s="8"/>
      <c r="FW240" s="8"/>
      <c r="FX240" s="8"/>
      <c r="FY240" s="8"/>
      <c r="FZ240" s="8"/>
      <c r="GA240" s="8"/>
      <c r="GB240" s="8"/>
      <c r="GC240" s="8"/>
      <c r="GD240" s="8"/>
      <c r="GE240" s="8"/>
      <c r="GF240" s="8"/>
      <c r="GG240" s="8"/>
      <c r="GH240" s="8"/>
      <c r="GI240" s="8"/>
      <c r="GJ240" s="8"/>
      <c r="GK240" s="8"/>
      <c r="GL240" s="8"/>
      <c r="GM240" s="8"/>
      <c r="GN240" s="8"/>
      <c r="GO240" s="8"/>
      <c r="GP240" s="8"/>
      <c r="GQ240" s="8"/>
      <c r="GR240" s="8"/>
      <c r="GS240" s="8"/>
      <c r="GT240" s="8"/>
      <c r="GU240" s="8"/>
      <c r="GV240" s="8"/>
      <c r="GW240" s="8"/>
      <c r="GX240" s="8"/>
      <c r="GY240" s="8"/>
      <c r="GZ240" s="8"/>
      <c r="HA240" s="8"/>
      <c r="HB240" s="8"/>
      <c r="HC240" s="8"/>
      <c r="HD240" s="8"/>
      <c r="HE240" s="8"/>
      <c r="HF240" s="8"/>
      <c r="HG240" s="8"/>
      <c r="HH240" s="8"/>
      <c r="HI240" s="8"/>
      <c r="HJ240" s="8"/>
      <c r="HK240" s="8"/>
      <c r="HL240" s="8"/>
      <c r="HM240" s="8"/>
      <c r="HN240" s="8"/>
      <c r="HO240" s="8"/>
      <c r="HP240" s="8"/>
      <c r="HQ240" s="8"/>
      <c r="HR240" s="8"/>
      <c r="HS240" s="8"/>
      <c r="HT240" s="8"/>
      <c r="HU240" s="8"/>
      <c r="HV240" s="8"/>
      <c r="HW240" s="8"/>
      <c r="HX240" s="8"/>
      <c r="HY240" s="8"/>
      <c r="HZ240" s="8"/>
      <c r="IA240" s="8"/>
      <c r="IB240" s="8"/>
      <c r="IC240" s="8"/>
      <c r="ID240" s="8"/>
    </row>
    <row r="241" spans="5:23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c r="EA241" s="8"/>
      <c r="EB241" s="8"/>
      <c r="EC241" s="8"/>
      <c r="ED241" s="8"/>
      <c r="EE241" s="8"/>
      <c r="EF241" s="8"/>
      <c r="EG241" s="8"/>
      <c r="EH241" s="8"/>
      <c r="EI241" s="8"/>
      <c r="EJ241" s="8"/>
      <c r="EK241" s="8"/>
      <c r="EL241" s="8"/>
      <c r="EM241" s="8"/>
      <c r="EN241" s="8"/>
      <c r="EO241" s="8"/>
      <c r="EP241" s="8"/>
      <c r="EQ241" s="8"/>
      <c r="ER241" s="8"/>
      <c r="ES241" s="8"/>
      <c r="ET241" s="8"/>
      <c r="EU241" s="8"/>
      <c r="EV241" s="8"/>
      <c r="EW241" s="8"/>
      <c r="EX241" s="8"/>
      <c r="EY241" s="8"/>
      <c r="EZ241" s="8"/>
      <c r="FA241" s="8"/>
      <c r="FB241" s="8"/>
      <c r="FC241" s="8"/>
      <c r="FD241" s="8"/>
      <c r="FE241" s="8"/>
      <c r="FF241" s="8"/>
      <c r="FG241" s="8"/>
      <c r="FH241" s="8"/>
      <c r="FI241" s="8"/>
      <c r="FJ241" s="8"/>
      <c r="FK241" s="8"/>
      <c r="FL241" s="8"/>
      <c r="FM241" s="8"/>
      <c r="FN241" s="8"/>
      <c r="FO241" s="8"/>
      <c r="FP241" s="8"/>
      <c r="FQ241" s="8"/>
      <c r="FR241" s="8"/>
      <c r="FS241" s="8"/>
      <c r="FT241" s="8"/>
      <c r="FU241" s="8"/>
      <c r="FV241" s="8"/>
      <c r="FW241" s="8"/>
      <c r="FX241" s="8"/>
      <c r="FY241" s="8"/>
      <c r="FZ241" s="8"/>
      <c r="GA241" s="8"/>
      <c r="GB241" s="8"/>
      <c r="GC241" s="8"/>
      <c r="GD241" s="8"/>
      <c r="GE241" s="8"/>
      <c r="GF241" s="8"/>
      <c r="GG241" s="8"/>
      <c r="GH241" s="8"/>
      <c r="GI241" s="8"/>
      <c r="GJ241" s="8"/>
      <c r="GK241" s="8"/>
      <c r="GL241" s="8"/>
      <c r="GM241" s="8"/>
      <c r="GN241" s="8"/>
      <c r="GO241" s="8"/>
      <c r="GP241" s="8"/>
      <c r="GQ241" s="8"/>
      <c r="GR241" s="8"/>
      <c r="GS241" s="8"/>
      <c r="GT241" s="8"/>
      <c r="GU241" s="8"/>
      <c r="GV241" s="8"/>
      <c r="GW241" s="8"/>
      <c r="GX241" s="8"/>
      <c r="GY241" s="8"/>
      <c r="GZ241" s="8"/>
      <c r="HA241" s="8"/>
      <c r="HB241" s="8"/>
      <c r="HC241" s="8"/>
      <c r="HD241" s="8"/>
      <c r="HE241" s="8"/>
      <c r="HF241" s="8"/>
      <c r="HG241" s="8"/>
      <c r="HH241" s="8"/>
      <c r="HI241" s="8"/>
      <c r="HJ241" s="8"/>
      <c r="HK241" s="8"/>
      <c r="HL241" s="8"/>
      <c r="HM241" s="8"/>
      <c r="HN241" s="8"/>
      <c r="HO241" s="8"/>
      <c r="HP241" s="8"/>
      <c r="HQ241" s="8"/>
      <c r="HR241" s="8"/>
      <c r="HS241" s="8"/>
      <c r="HT241" s="8"/>
      <c r="HU241" s="8"/>
      <c r="HV241" s="8"/>
      <c r="HW241" s="8"/>
      <c r="HX241" s="8"/>
      <c r="HY241" s="8"/>
      <c r="HZ241" s="8"/>
      <c r="IA241" s="8"/>
      <c r="IB241" s="8"/>
      <c r="IC241" s="8"/>
      <c r="ID241" s="8"/>
    </row>
    <row r="242" spans="5:23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c r="DQ242" s="8"/>
      <c r="DR242" s="8"/>
      <c r="DS242" s="8"/>
      <c r="DT242" s="8"/>
      <c r="DU242" s="8"/>
      <c r="DV242" s="8"/>
      <c r="DW242" s="8"/>
      <c r="DX242" s="8"/>
      <c r="DY242" s="8"/>
      <c r="DZ242" s="8"/>
      <c r="EA242" s="8"/>
      <c r="EB242" s="8"/>
      <c r="EC242" s="8"/>
      <c r="ED242" s="8"/>
      <c r="EE242" s="8"/>
      <c r="EF242" s="8"/>
      <c r="EG242" s="8"/>
      <c r="EH242" s="8"/>
      <c r="EI242" s="8"/>
      <c r="EJ242" s="8"/>
      <c r="EK242" s="8"/>
      <c r="EL242" s="8"/>
      <c r="EM242" s="8"/>
      <c r="EN242" s="8"/>
      <c r="EO242" s="8"/>
      <c r="EP242" s="8"/>
      <c r="EQ242" s="8"/>
      <c r="ER242" s="8"/>
      <c r="ES242" s="8"/>
      <c r="ET242" s="8"/>
      <c r="EU242" s="8"/>
      <c r="EV242" s="8"/>
      <c r="EW242" s="8"/>
      <c r="EX242" s="8"/>
      <c r="EY242" s="8"/>
      <c r="EZ242" s="8"/>
      <c r="FA242" s="8"/>
      <c r="FB242" s="8"/>
      <c r="FC242" s="8"/>
      <c r="FD242" s="8"/>
      <c r="FE242" s="8"/>
      <c r="FF242" s="8"/>
      <c r="FG242" s="8"/>
      <c r="FH242" s="8"/>
      <c r="FI242" s="8"/>
      <c r="FJ242" s="8"/>
      <c r="FK242" s="8"/>
      <c r="FL242" s="8"/>
      <c r="FM242" s="8"/>
      <c r="FN242" s="8"/>
      <c r="FO242" s="8"/>
      <c r="FP242" s="8"/>
      <c r="FQ242" s="8"/>
      <c r="FR242" s="8"/>
      <c r="FS242" s="8"/>
      <c r="FT242" s="8"/>
      <c r="FU242" s="8"/>
      <c r="FV242" s="8"/>
      <c r="FW242" s="8"/>
      <c r="FX242" s="8"/>
      <c r="FY242" s="8"/>
      <c r="FZ242" s="8"/>
      <c r="GA242" s="8"/>
      <c r="GB242" s="8"/>
      <c r="GC242" s="8"/>
      <c r="GD242" s="8"/>
      <c r="GE242" s="8"/>
      <c r="GF242" s="8"/>
      <c r="GG242" s="8"/>
      <c r="GH242" s="8"/>
      <c r="GI242" s="8"/>
      <c r="GJ242" s="8"/>
      <c r="GK242" s="8"/>
      <c r="GL242" s="8"/>
      <c r="GM242" s="8"/>
      <c r="GN242" s="8"/>
      <c r="GO242" s="8"/>
      <c r="GP242" s="8"/>
      <c r="GQ242" s="8"/>
      <c r="GR242" s="8"/>
      <c r="GS242" s="8"/>
      <c r="GT242" s="8"/>
      <c r="GU242" s="8"/>
      <c r="GV242" s="8"/>
      <c r="GW242" s="8"/>
      <c r="GX242" s="8"/>
      <c r="GY242" s="8"/>
      <c r="GZ242" s="8"/>
      <c r="HA242" s="8"/>
      <c r="HB242" s="8"/>
      <c r="HC242" s="8"/>
      <c r="HD242" s="8"/>
      <c r="HE242" s="8"/>
      <c r="HF242" s="8"/>
      <c r="HG242" s="8"/>
      <c r="HH242" s="8"/>
      <c r="HI242" s="8"/>
      <c r="HJ242" s="8"/>
      <c r="HK242" s="8"/>
      <c r="HL242" s="8"/>
      <c r="HM242" s="8"/>
      <c r="HN242" s="8"/>
      <c r="HO242" s="8"/>
      <c r="HP242" s="8"/>
      <c r="HQ242" s="8"/>
      <c r="HR242" s="8"/>
      <c r="HS242" s="8"/>
      <c r="HT242" s="8"/>
      <c r="HU242" s="8"/>
      <c r="HV242" s="8"/>
      <c r="HW242" s="8"/>
      <c r="HX242" s="8"/>
      <c r="HY242" s="8"/>
      <c r="HZ242" s="8"/>
      <c r="IA242" s="8"/>
      <c r="IB242" s="8"/>
      <c r="IC242" s="8"/>
      <c r="ID242" s="8"/>
    </row>
    <row r="243" spans="5:23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c r="EQ243" s="8"/>
      <c r="ER243" s="8"/>
      <c r="ES243" s="8"/>
      <c r="ET243" s="8"/>
      <c r="EU243" s="8"/>
      <c r="EV243" s="8"/>
      <c r="EW243" s="8"/>
      <c r="EX243" s="8"/>
      <c r="EY243" s="8"/>
      <c r="EZ243" s="8"/>
      <c r="FA243" s="8"/>
      <c r="FB243" s="8"/>
      <c r="FC243" s="8"/>
      <c r="FD243" s="8"/>
      <c r="FE243" s="8"/>
      <c r="FF243" s="8"/>
      <c r="FG243" s="8"/>
      <c r="FH243" s="8"/>
      <c r="FI243" s="8"/>
      <c r="FJ243" s="8"/>
      <c r="FK243" s="8"/>
      <c r="FL243" s="8"/>
      <c r="FM243" s="8"/>
      <c r="FN243" s="8"/>
      <c r="FO243" s="8"/>
      <c r="FP243" s="8"/>
      <c r="FQ243" s="8"/>
      <c r="FR243" s="8"/>
      <c r="FS243" s="8"/>
      <c r="FT243" s="8"/>
      <c r="FU243" s="8"/>
      <c r="FV243" s="8"/>
      <c r="FW243" s="8"/>
      <c r="FX243" s="8"/>
      <c r="FY243" s="8"/>
      <c r="FZ243" s="8"/>
      <c r="GA243" s="8"/>
      <c r="GB243" s="8"/>
      <c r="GC243" s="8"/>
      <c r="GD243" s="8"/>
      <c r="GE243" s="8"/>
      <c r="GF243" s="8"/>
      <c r="GG243" s="8"/>
      <c r="GH243" s="8"/>
      <c r="GI243" s="8"/>
      <c r="GJ243" s="8"/>
      <c r="GK243" s="8"/>
      <c r="GL243" s="8"/>
      <c r="GM243" s="8"/>
      <c r="GN243" s="8"/>
      <c r="GO243" s="8"/>
      <c r="GP243" s="8"/>
      <c r="GQ243" s="8"/>
      <c r="GR243" s="8"/>
      <c r="GS243" s="8"/>
      <c r="GT243" s="8"/>
      <c r="GU243" s="8"/>
      <c r="GV243" s="8"/>
      <c r="GW243" s="8"/>
      <c r="GX243" s="8"/>
      <c r="GY243" s="8"/>
      <c r="GZ243" s="8"/>
      <c r="HA243" s="8"/>
      <c r="HB243" s="8"/>
      <c r="HC243" s="8"/>
      <c r="HD243" s="8"/>
      <c r="HE243" s="8"/>
      <c r="HF243" s="8"/>
      <c r="HG243" s="8"/>
      <c r="HH243" s="8"/>
      <c r="HI243" s="8"/>
      <c r="HJ243" s="8"/>
      <c r="HK243" s="8"/>
      <c r="HL243" s="8"/>
      <c r="HM243" s="8"/>
      <c r="HN243" s="8"/>
      <c r="HO243" s="8"/>
      <c r="HP243" s="8"/>
      <c r="HQ243" s="8"/>
      <c r="HR243" s="8"/>
      <c r="HS243" s="8"/>
      <c r="HT243" s="8"/>
      <c r="HU243" s="8"/>
      <c r="HV243" s="8"/>
      <c r="HW243" s="8"/>
      <c r="HX243" s="8"/>
      <c r="HY243" s="8"/>
      <c r="HZ243" s="8"/>
      <c r="IA243" s="8"/>
      <c r="IB243" s="8"/>
      <c r="IC243" s="8"/>
      <c r="ID243" s="8"/>
    </row>
    <row r="244" spans="5:23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c r="DQ244" s="8"/>
      <c r="DR244" s="8"/>
      <c r="DS244" s="8"/>
      <c r="DT244" s="8"/>
      <c r="DU244" s="8"/>
      <c r="DV244" s="8"/>
      <c r="DW244" s="8"/>
      <c r="DX244" s="8"/>
      <c r="DY244" s="8"/>
      <c r="DZ244" s="8"/>
      <c r="EA244" s="8"/>
      <c r="EB244" s="8"/>
      <c r="EC244" s="8"/>
      <c r="ED244" s="8"/>
      <c r="EE244" s="8"/>
      <c r="EF244" s="8"/>
      <c r="EG244" s="8"/>
      <c r="EH244" s="8"/>
      <c r="EI244" s="8"/>
      <c r="EJ244" s="8"/>
      <c r="EK244" s="8"/>
      <c r="EL244" s="8"/>
      <c r="EM244" s="8"/>
      <c r="EN244" s="8"/>
      <c r="EO244" s="8"/>
      <c r="EP244" s="8"/>
      <c r="EQ244" s="8"/>
      <c r="ER244" s="8"/>
      <c r="ES244" s="8"/>
      <c r="ET244" s="8"/>
      <c r="EU244" s="8"/>
      <c r="EV244" s="8"/>
      <c r="EW244" s="8"/>
      <c r="EX244" s="8"/>
      <c r="EY244" s="8"/>
      <c r="EZ244" s="8"/>
      <c r="FA244" s="8"/>
      <c r="FB244" s="8"/>
      <c r="FC244" s="8"/>
      <c r="FD244" s="8"/>
      <c r="FE244" s="8"/>
      <c r="FF244" s="8"/>
      <c r="FG244" s="8"/>
      <c r="FH244" s="8"/>
      <c r="FI244" s="8"/>
      <c r="FJ244" s="8"/>
      <c r="FK244" s="8"/>
      <c r="FL244" s="8"/>
      <c r="FM244" s="8"/>
      <c r="FN244" s="8"/>
      <c r="FO244" s="8"/>
      <c r="FP244" s="8"/>
      <c r="FQ244" s="8"/>
      <c r="FR244" s="8"/>
      <c r="FS244" s="8"/>
      <c r="FT244" s="8"/>
      <c r="FU244" s="8"/>
      <c r="FV244" s="8"/>
      <c r="FW244" s="8"/>
      <c r="FX244" s="8"/>
      <c r="FY244" s="8"/>
      <c r="FZ244" s="8"/>
      <c r="GA244" s="8"/>
      <c r="GB244" s="8"/>
      <c r="GC244" s="8"/>
      <c r="GD244" s="8"/>
      <c r="GE244" s="8"/>
      <c r="GF244" s="8"/>
      <c r="GG244" s="8"/>
      <c r="GH244" s="8"/>
      <c r="GI244" s="8"/>
      <c r="GJ244" s="8"/>
      <c r="GK244" s="8"/>
      <c r="GL244" s="8"/>
      <c r="GM244" s="8"/>
      <c r="GN244" s="8"/>
      <c r="GO244" s="8"/>
      <c r="GP244" s="8"/>
      <c r="GQ244" s="8"/>
      <c r="GR244" s="8"/>
      <c r="GS244" s="8"/>
      <c r="GT244" s="8"/>
      <c r="GU244" s="8"/>
      <c r="GV244" s="8"/>
      <c r="GW244" s="8"/>
      <c r="GX244" s="8"/>
      <c r="GY244" s="8"/>
      <c r="GZ244" s="8"/>
      <c r="HA244" s="8"/>
      <c r="HB244" s="8"/>
      <c r="HC244" s="8"/>
      <c r="HD244" s="8"/>
      <c r="HE244" s="8"/>
      <c r="HF244" s="8"/>
      <c r="HG244" s="8"/>
      <c r="HH244" s="8"/>
      <c r="HI244" s="8"/>
      <c r="HJ244" s="8"/>
      <c r="HK244" s="8"/>
      <c r="HL244" s="8"/>
      <c r="HM244" s="8"/>
      <c r="HN244" s="8"/>
      <c r="HO244" s="8"/>
      <c r="HP244" s="8"/>
      <c r="HQ244" s="8"/>
      <c r="HR244" s="8"/>
      <c r="HS244" s="8"/>
      <c r="HT244" s="8"/>
      <c r="HU244" s="8"/>
      <c r="HV244" s="8"/>
      <c r="HW244" s="8"/>
      <c r="HX244" s="8"/>
      <c r="HY244" s="8"/>
      <c r="HZ244" s="8"/>
      <c r="IA244" s="8"/>
      <c r="IB244" s="8"/>
      <c r="IC244" s="8"/>
      <c r="ID244" s="8"/>
    </row>
    <row r="245" spans="5:23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c r="EQ245" s="8"/>
      <c r="ER245" s="8"/>
      <c r="ES245" s="8"/>
      <c r="ET245" s="8"/>
      <c r="EU245" s="8"/>
      <c r="EV245" s="8"/>
      <c r="EW245" s="8"/>
      <c r="EX245" s="8"/>
      <c r="EY245" s="8"/>
      <c r="EZ245" s="8"/>
      <c r="FA245" s="8"/>
      <c r="FB245" s="8"/>
      <c r="FC245" s="8"/>
      <c r="FD245" s="8"/>
      <c r="FE245" s="8"/>
      <c r="FF245" s="8"/>
      <c r="FG245" s="8"/>
      <c r="FH245" s="8"/>
      <c r="FI245" s="8"/>
      <c r="FJ245" s="8"/>
      <c r="FK245" s="8"/>
      <c r="FL245" s="8"/>
      <c r="FM245" s="8"/>
      <c r="FN245" s="8"/>
      <c r="FO245" s="8"/>
      <c r="FP245" s="8"/>
      <c r="FQ245" s="8"/>
      <c r="FR245" s="8"/>
      <c r="FS245" s="8"/>
      <c r="FT245" s="8"/>
      <c r="FU245" s="8"/>
      <c r="FV245" s="8"/>
      <c r="FW245" s="8"/>
      <c r="FX245" s="8"/>
      <c r="FY245" s="8"/>
      <c r="FZ245" s="8"/>
      <c r="GA245" s="8"/>
      <c r="GB245" s="8"/>
      <c r="GC245" s="8"/>
      <c r="GD245" s="8"/>
      <c r="GE245" s="8"/>
      <c r="GF245" s="8"/>
      <c r="GG245" s="8"/>
      <c r="GH245" s="8"/>
      <c r="GI245" s="8"/>
      <c r="GJ245" s="8"/>
      <c r="GK245" s="8"/>
      <c r="GL245" s="8"/>
      <c r="GM245" s="8"/>
      <c r="GN245" s="8"/>
      <c r="GO245" s="8"/>
      <c r="GP245" s="8"/>
      <c r="GQ245" s="8"/>
      <c r="GR245" s="8"/>
      <c r="GS245" s="8"/>
      <c r="GT245" s="8"/>
      <c r="GU245" s="8"/>
      <c r="GV245" s="8"/>
      <c r="GW245" s="8"/>
      <c r="GX245" s="8"/>
      <c r="GY245" s="8"/>
      <c r="GZ245" s="8"/>
      <c r="HA245" s="8"/>
      <c r="HB245" s="8"/>
      <c r="HC245" s="8"/>
      <c r="HD245" s="8"/>
      <c r="HE245" s="8"/>
      <c r="HF245" s="8"/>
      <c r="HG245" s="8"/>
      <c r="HH245" s="8"/>
      <c r="HI245" s="8"/>
      <c r="HJ245" s="8"/>
      <c r="HK245" s="8"/>
      <c r="HL245" s="8"/>
      <c r="HM245" s="8"/>
      <c r="HN245" s="8"/>
      <c r="HO245" s="8"/>
      <c r="HP245" s="8"/>
      <c r="HQ245" s="8"/>
      <c r="HR245" s="8"/>
      <c r="HS245" s="8"/>
      <c r="HT245" s="8"/>
      <c r="HU245" s="8"/>
      <c r="HV245" s="8"/>
      <c r="HW245" s="8"/>
      <c r="HX245" s="8"/>
      <c r="HY245" s="8"/>
      <c r="HZ245" s="8"/>
      <c r="IA245" s="8"/>
      <c r="IB245" s="8"/>
      <c r="IC245" s="8"/>
      <c r="ID245" s="8"/>
    </row>
    <row r="246" spans="5:23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c r="DX246" s="8"/>
      <c r="DY246" s="8"/>
      <c r="DZ246" s="8"/>
      <c r="EA246" s="8"/>
      <c r="EB246" s="8"/>
      <c r="EC246" s="8"/>
      <c r="ED246" s="8"/>
      <c r="EE246" s="8"/>
      <c r="EF246" s="8"/>
      <c r="EG246" s="8"/>
      <c r="EH246" s="8"/>
      <c r="EI246" s="8"/>
      <c r="EJ246" s="8"/>
      <c r="EK246" s="8"/>
      <c r="EL246" s="8"/>
      <c r="EM246" s="8"/>
      <c r="EN246" s="8"/>
      <c r="EO246" s="8"/>
      <c r="EP246" s="8"/>
      <c r="EQ246" s="8"/>
      <c r="ER246" s="8"/>
      <c r="ES246" s="8"/>
      <c r="ET246" s="8"/>
      <c r="EU246" s="8"/>
      <c r="EV246" s="8"/>
      <c r="EW246" s="8"/>
      <c r="EX246" s="8"/>
      <c r="EY246" s="8"/>
      <c r="EZ246" s="8"/>
      <c r="FA246" s="8"/>
      <c r="FB246" s="8"/>
      <c r="FC246" s="8"/>
      <c r="FD246" s="8"/>
      <c r="FE246" s="8"/>
      <c r="FF246" s="8"/>
      <c r="FG246" s="8"/>
      <c r="FH246" s="8"/>
      <c r="FI246" s="8"/>
      <c r="FJ246" s="8"/>
      <c r="FK246" s="8"/>
      <c r="FL246" s="8"/>
      <c r="FM246" s="8"/>
      <c r="FN246" s="8"/>
      <c r="FO246" s="8"/>
      <c r="FP246" s="8"/>
      <c r="FQ246" s="8"/>
      <c r="FR246" s="8"/>
      <c r="FS246" s="8"/>
      <c r="FT246" s="8"/>
      <c r="FU246" s="8"/>
      <c r="FV246" s="8"/>
      <c r="FW246" s="8"/>
      <c r="FX246" s="8"/>
      <c r="FY246" s="8"/>
      <c r="FZ246" s="8"/>
      <c r="GA246" s="8"/>
      <c r="GB246" s="8"/>
      <c r="GC246" s="8"/>
      <c r="GD246" s="8"/>
      <c r="GE246" s="8"/>
      <c r="GF246" s="8"/>
      <c r="GG246" s="8"/>
      <c r="GH246" s="8"/>
      <c r="GI246" s="8"/>
      <c r="GJ246" s="8"/>
      <c r="GK246" s="8"/>
      <c r="GL246" s="8"/>
      <c r="GM246" s="8"/>
      <c r="GN246" s="8"/>
      <c r="GO246" s="8"/>
      <c r="GP246" s="8"/>
      <c r="GQ246" s="8"/>
      <c r="GR246" s="8"/>
      <c r="GS246" s="8"/>
      <c r="GT246" s="8"/>
      <c r="GU246" s="8"/>
      <c r="GV246" s="8"/>
      <c r="GW246" s="8"/>
      <c r="GX246" s="8"/>
      <c r="GY246" s="8"/>
      <c r="GZ246" s="8"/>
      <c r="HA246" s="8"/>
      <c r="HB246" s="8"/>
      <c r="HC246" s="8"/>
      <c r="HD246" s="8"/>
      <c r="HE246" s="8"/>
      <c r="HF246" s="8"/>
      <c r="HG246" s="8"/>
      <c r="HH246" s="8"/>
      <c r="HI246" s="8"/>
      <c r="HJ246" s="8"/>
      <c r="HK246" s="8"/>
      <c r="HL246" s="8"/>
      <c r="HM246" s="8"/>
      <c r="HN246" s="8"/>
      <c r="HO246" s="8"/>
      <c r="HP246" s="8"/>
      <c r="HQ246" s="8"/>
      <c r="HR246" s="8"/>
      <c r="HS246" s="8"/>
      <c r="HT246" s="8"/>
      <c r="HU246" s="8"/>
      <c r="HV246" s="8"/>
      <c r="HW246" s="8"/>
      <c r="HX246" s="8"/>
      <c r="HY246" s="8"/>
      <c r="HZ246" s="8"/>
      <c r="IA246" s="8"/>
      <c r="IB246" s="8"/>
      <c r="IC246" s="8"/>
      <c r="ID246" s="8"/>
    </row>
    <row r="247" spans="5:23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c r="DL247" s="8"/>
      <c r="DM247" s="8"/>
      <c r="DN247" s="8"/>
      <c r="DO247" s="8"/>
      <c r="DP247" s="8"/>
      <c r="DQ247" s="8"/>
      <c r="DR247" s="8"/>
      <c r="DS247" s="8"/>
      <c r="DT247" s="8"/>
      <c r="DU247" s="8"/>
      <c r="DV247" s="8"/>
      <c r="DW247" s="8"/>
      <c r="DX247" s="8"/>
      <c r="DY247" s="8"/>
      <c r="DZ247" s="8"/>
      <c r="EA247" s="8"/>
      <c r="EB247" s="8"/>
      <c r="EC247" s="8"/>
      <c r="ED247" s="8"/>
      <c r="EE247" s="8"/>
      <c r="EF247" s="8"/>
      <c r="EG247" s="8"/>
      <c r="EH247" s="8"/>
      <c r="EI247" s="8"/>
      <c r="EJ247" s="8"/>
      <c r="EK247" s="8"/>
      <c r="EL247" s="8"/>
      <c r="EM247" s="8"/>
      <c r="EN247" s="8"/>
      <c r="EO247" s="8"/>
      <c r="EP247" s="8"/>
      <c r="EQ247" s="8"/>
      <c r="ER247" s="8"/>
      <c r="ES247" s="8"/>
      <c r="ET247" s="8"/>
      <c r="EU247" s="8"/>
      <c r="EV247" s="8"/>
      <c r="EW247" s="8"/>
      <c r="EX247" s="8"/>
      <c r="EY247" s="8"/>
      <c r="EZ247" s="8"/>
      <c r="FA247" s="8"/>
      <c r="FB247" s="8"/>
      <c r="FC247" s="8"/>
      <c r="FD247" s="8"/>
      <c r="FE247" s="8"/>
      <c r="FF247" s="8"/>
      <c r="FG247" s="8"/>
      <c r="FH247" s="8"/>
      <c r="FI247" s="8"/>
      <c r="FJ247" s="8"/>
      <c r="FK247" s="8"/>
      <c r="FL247" s="8"/>
      <c r="FM247" s="8"/>
      <c r="FN247" s="8"/>
      <c r="FO247" s="8"/>
      <c r="FP247" s="8"/>
      <c r="FQ247" s="8"/>
      <c r="FR247" s="8"/>
      <c r="FS247" s="8"/>
      <c r="FT247" s="8"/>
      <c r="FU247" s="8"/>
      <c r="FV247" s="8"/>
      <c r="FW247" s="8"/>
      <c r="FX247" s="8"/>
      <c r="FY247" s="8"/>
      <c r="FZ247" s="8"/>
      <c r="GA247" s="8"/>
      <c r="GB247" s="8"/>
      <c r="GC247" s="8"/>
      <c r="GD247" s="8"/>
      <c r="GE247" s="8"/>
      <c r="GF247" s="8"/>
      <c r="GG247" s="8"/>
      <c r="GH247" s="8"/>
      <c r="GI247" s="8"/>
      <c r="GJ247" s="8"/>
      <c r="GK247" s="8"/>
      <c r="GL247" s="8"/>
      <c r="GM247" s="8"/>
      <c r="GN247" s="8"/>
      <c r="GO247" s="8"/>
      <c r="GP247" s="8"/>
      <c r="GQ247" s="8"/>
      <c r="GR247" s="8"/>
      <c r="GS247" s="8"/>
      <c r="GT247" s="8"/>
      <c r="GU247" s="8"/>
      <c r="GV247" s="8"/>
      <c r="GW247" s="8"/>
      <c r="GX247" s="8"/>
      <c r="GY247" s="8"/>
      <c r="GZ247" s="8"/>
      <c r="HA247" s="8"/>
      <c r="HB247" s="8"/>
      <c r="HC247" s="8"/>
      <c r="HD247" s="8"/>
      <c r="HE247" s="8"/>
      <c r="HF247" s="8"/>
      <c r="HG247" s="8"/>
      <c r="HH247" s="8"/>
      <c r="HI247" s="8"/>
      <c r="HJ247" s="8"/>
      <c r="HK247" s="8"/>
      <c r="HL247" s="8"/>
      <c r="HM247" s="8"/>
      <c r="HN247" s="8"/>
      <c r="HO247" s="8"/>
      <c r="HP247" s="8"/>
      <c r="HQ247" s="8"/>
      <c r="HR247" s="8"/>
      <c r="HS247" s="8"/>
      <c r="HT247" s="8"/>
      <c r="HU247" s="8"/>
      <c r="HV247" s="8"/>
      <c r="HW247" s="8"/>
      <c r="HX247" s="8"/>
      <c r="HY247" s="8"/>
      <c r="HZ247" s="8"/>
      <c r="IA247" s="8"/>
      <c r="IB247" s="8"/>
      <c r="IC247" s="8"/>
      <c r="ID247" s="8"/>
    </row>
    <row r="248" spans="5:23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c r="DQ248" s="8"/>
      <c r="DR248" s="8"/>
      <c r="DS248" s="8"/>
      <c r="DT248" s="8"/>
      <c r="DU248" s="8"/>
      <c r="DV248" s="8"/>
      <c r="DW248" s="8"/>
      <c r="DX248" s="8"/>
      <c r="DY248" s="8"/>
      <c r="DZ248" s="8"/>
      <c r="EA248" s="8"/>
      <c r="EB248" s="8"/>
      <c r="EC248" s="8"/>
      <c r="ED248" s="8"/>
      <c r="EE248" s="8"/>
      <c r="EF248" s="8"/>
      <c r="EG248" s="8"/>
      <c r="EH248" s="8"/>
      <c r="EI248" s="8"/>
      <c r="EJ248" s="8"/>
      <c r="EK248" s="8"/>
      <c r="EL248" s="8"/>
      <c r="EM248" s="8"/>
      <c r="EN248" s="8"/>
      <c r="EO248" s="8"/>
      <c r="EP248" s="8"/>
      <c r="EQ248" s="8"/>
      <c r="ER248" s="8"/>
      <c r="ES248" s="8"/>
      <c r="ET248" s="8"/>
      <c r="EU248" s="8"/>
      <c r="EV248" s="8"/>
      <c r="EW248" s="8"/>
      <c r="EX248" s="8"/>
      <c r="EY248" s="8"/>
      <c r="EZ248" s="8"/>
      <c r="FA248" s="8"/>
      <c r="FB248" s="8"/>
      <c r="FC248" s="8"/>
      <c r="FD248" s="8"/>
      <c r="FE248" s="8"/>
      <c r="FF248" s="8"/>
      <c r="FG248" s="8"/>
      <c r="FH248" s="8"/>
      <c r="FI248" s="8"/>
      <c r="FJ248" s="8"/>
      <c r="FK248" s="8"/>
      <c r="FL248" s="8"/>
      <c r="FM248" s="8"/>
      <c r="FN248" s="8"/>
      <c r="FO248" s="8"/>
      <c r="FP248" s="8"/>
      <c r="FQ248" s="8"/>
      <c r="FR248" s="8"/>
      <c r="FS248" s="8"/>
      <c r="FT248" s="8"/>
      <c r="FU248" s="8"/>
      <c r="FV248" s="8"/>
      <c r="FW248" s="8"/>
      <c r="FX248" s="8"/>
      <c r="FY248" s="8"/>
      <c r="FZ248" s="8"/>
      <c r="GA248" s="8"/>
      <c r="GB248" s="8"/>
      <c r="GC248" s="8"/>
      <c r="GD248" s="8"/>
      <c r="GE248" s="8"/>
      <c r="GF248" s="8"/>
      <c r="GG248" s="8"/>
      <c r="GH248" s="8"/>
      <c r="GI248" s="8"/>
      <c r="GJ248" s="8"/>
      <c r="GK248" s="8"/>
      <c r="GL248" s="8"/>
      <c r="GM248" s="8"/>
      <c r="GN248" s="8"/>
      <c r="GO248" s="8"/>
      <c r="GP248" s="8"/>
      <c r="GQ248" s="8"/>
      <c r="GR248" s="8"/>
      <c r="GS248" s="8"/>
      <c r="GT248" s="8"/>
      <c r="GU248" s="8"/>
      <c r="GV248" s="8"/>
      <c r="GW248" s="8"/>
      <c r="GX248" s="8"/>
      <c r="GY248" s="8"/>
      <c r="GZ248" s="8"/>
      <c r="HA248" s="8"/>
      <c r="HB248" s="8"/>
      <c r="HC248" s="8"/>
      <c r="HD248" s="8"/>
      <c r="HE248" s="8"/>
      <c r="HF248" s="8"/>
      <c r="HG248" s="8"/>
      <c r="HH248" s="8"/>
      <c r="HI248" s="8"/>
      <c r="HJ248" s="8"/>
      <c r="HK248" s="8"/>
      <c r="HL248" s="8"/>
      <c r="HM248" s="8"/>
      <c r="HN248" s="8"/>
      <c r="HO248" s="8"/>
      <c r="HP248" s="8"/>
      <c r="HQ248" s="8"/>
      <c r="HR248" s="8"/>
      <c r="HS248" s="8"/>
      <c r="HT248" s="8"/>
      <c r="HU248" s="8"/>
      <c r="HV248" s="8"/>
      <c r="HW248" s="8"/>
      <c r="HX248" s="8"/>
      <c r="HY248" s="8"/>
      <c r="HZ248" s="8"/>
      <c r="IA248" s="8"/>
      <c r="IB248" s="8"/>
      <c r="IC248" s="8"/>
      <c r="ID248" s="8"/>
    </row>
    <row r="249" spans="5:23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c r="DX249" s="8"/>
      <c r="DY249" s="8"/>
      <c r="DZ249" s="8"/>
      <c r="EA249" s="8"/>
      <c r="EB249" s="8"/>
      <c r="EC249" s="8"/>
      <c r="ED249" s="8"/>
      <c r="EE249" s="8"/>
      <c r="EF249" s="8"/>
      <c r="EG249" s="8"/>
      <c r="EH249" s="8"/>
      <c r="EI249" s="8"/>
      <c r="EJ249" s="8"/>
      <c r="EK249" s="8"/>
      <c r="EL249" s="8"/>
      <c r="EM249" s="8"/>
      <c r="EN249" s="8"/>
      <c r="EO249" s="8"/>
      <c r="EP249" s="8"/>
      <c r="EQ249" s="8"/>
      <c r="ER249" s="8"/>
      <c r="ES249" s="8"/>
      <c r="ET249" s="8"/>
      <c r="EU249" s="8"/>
      <c r="EV249" s="8"/>
      <c r="EW249" s="8"/>
      <c r="EX249" s="8"/>
      <c r="EY249" s="8"/>
      <c r="EZ249" s="8"/>
      <c r="FA249" s="8"/>
      <c r="FB249" s="8"/>
      <c r="FC249" s="8"/>
      <c r="FD249" s="8"/>
      <c r="FE249" s="8"/>
      <c r="FF249" s="8"/>
      <c r="FG249" s="8"/>
      <c r="FH249" s="8"/>
      <c r="FI249" s="8"/>
      <c r="FJ249" s="8"/>
      <c r="FK249" s="8"/>
      <c r="FL249" s="8"/>
      <c r="FM249" s="8"/>
      <c r="FN249" s="8"/>
      <c r="FO249" s="8"/>
      <c r="FP249" s="8"/>
      <c r="FQ249" s="8"/>
      <c r="FR249" s="8"/>
      <c r="FS249" s="8"/>
      <c r="FT249" s="8"/>
      <c r="FU249" s="8"/>
      <c r="FV249" s="8"/>
      <c r="FW249" s="8"/>
      <c r="FX249" s="8"/>
      <c r="FY249" s="8"/>
      <c r="FZ249" s="8"/>
      <c r="GA249" s="8"/>
      <c r="GB249" s="8"/>
      <c r="GC249" s="8"/>
      <c r="GD249" s="8"/>
      <c r="GE249" s="8"/>
      <c r="GF249" s="8"/>
      <c r="GG249" s="8"/>
      <c r="GH249" s="8"/>
      <c r="GI249" s="8"/>
      <c r="GJ249" s="8"/>
      <c r="GK249" s="8"/>
      <c r="GL249" s="8"/>
      <c r="GM249" s="8"/>
      <c r="GN249" s="8"/>
      <c r="GO249" s="8"/>
      <c r="GP249" s="8"/>
      <c r="GQ249" s="8"/>
      <c r="GR249" s="8"/>
      <c r="GS249" s="8"/>
      <c r="GT249" s="8"/>
      <c r="GU249" s="8"/>
      <c r="GV249" s="8"/>
      <c r="GW249" s="8"/>
      <c r="GX249" s="8"/>
      <c r="GY249" s="8"/>
      <c r="GZ249" s="8"/>
      <c r="HA249" s="8"/>
      <c r="HB249" s="8"/>
      <c r="HC249" s="8"/>
      <c r="HD249" s="8"/>
      <c r="HE249" s="8"/>
      <c r="HF249" s="8"/>
      <c r="HG249" s="8"/>
      <c r="HH249" s="8"/>
      <c r="HI249" s="8"/>
      <c r="HJ249" s="8"/>
      <c r="HK249" s="8"/>
      <c r="HL249" s="8"/>
      <c r="HM249" s="8"/>
      <c r="HN249" s="8"/>
      <c r="HO249" s="8"/>
      <c r="HP249" s="8"/>
      <c r="HQ249" s="8"/>
      <c r="HR249" s="8"/>
      <c r="HS249" s="8"/>
      <c r="HT249" s="8"/>
      <c r="HU249" s="8"/>
      <c r="HV249" s="8"/>
      <c r="HW249" s="8"/>
      <c r="HX249" s="8"/>
      <c r="HY249" s="8"/>
      <c r="HZ249" s="8"/>
      <c r="IA249" s="8"/>
      <c r="IB249" s="8"/>
      <c r="IC249" s="8"/>
      <c r="ID249" s="8"/>
    </row>
    <row r="250" spans="5:23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c r="DQ250" s="8"/>
      <c r="DR250" s="8"/>
      <c r="DS250" s="8"/>
      <c r="DT250" s="8"/>
      <c r="DU250" s="8"/>
      <c r="DV250" s="8"/>
      <c r="DW250" s="8"/>
      <c r="DX250" s="8"/>
      <c r="DY250" s="8"/>
      <c r="DZ250" s="8"/>
      <c r="EA250" s="8"/>
      <c r="EB250" s="8"/>
      <c r="EC250" s="8"/>
      <c r="ED250" s="8"/>
      <c r="EE250" s="8"/>
      <c r="EF250" s="8"/>
      <c r="EG250" s="8"/>
      <c r="EH250" s="8"/>
      <c r="EI250" s="8"/>
      <c r="EJ250" s="8"/>
      <c r="EK250" s="8"/>
      <c r="EL250" s="8"/>
      <c r="EM250" s="8"/>
      <c r="EN250" s="8"/>
      <c r="EO250" s="8"/>
      <c r="EP250" s="8"/>
      <c r="EQ250" s="8"/>
      <c r="ER250" s="8"/>
      <c r="ES250" s="8"/>
      <c r="ET250" s="8"/>
      <c r="EU250" s="8"/>
      <c r="EV250" s="8"/>
      <c r="EW250" s="8"/>
      <c r="EX250" s="8"/>
      <c r="EY250" s="8"/>
      <c r="EZ250" s="8"/>
      <c r="FA250" s="8"/>
      <c r="FB250" s="8"/>
      <c r="FC250" s="8"/>
      <c r="FD250" s="8"/>
      <c r="FE250" s="8"/>
      <c r="FF250" s="8"/>
      <c r="FG250" s="8"/>
      <c r="FH250" s="8"/>
      <c r="FI250" s="8"/>
      <c r="FJ250" s="8"/>
      <c r="FK250" s="8"/>
      <c r="FL250" s="8"/>
      <c r="FM250" s="8"/>
      <c r="FN250" s="8"/>
      <c r="FO250" s="8"/>
      <c r="FP250" s="8"/>
      <c r="FQ250" s="8"/>
      <c r="FR250" s="8"/>
      <c r="FS250" s="8"/>
      <c r="FT250" s="8"/>
      <c r="FU250" s="8"/>
      <c r="FV250" s="8"/>
      <c r="FW250" s="8"/>
      <c r="FX250" s="8"/>
      <c r="FY250" s="8"/>
      <c r="FZ250" s="8"/>
      <c r="GA250" s="8"/>
      <c r="GB250" s="8"/>
      <c r="GC250" s="8"/>
      <c r="GD250" s="8"/>
      <c r="GE250" s="8"/>
      <c r="GF250" s="8"/>
      <c r="GG250" s="8"/>
      <c r="GH250" s="8"/>
      <c r="GI250" s="8"/>
      <c r="GJ250" s="8"/>
      <c r="GK250" s="8"/>
      <c r="GL250" s="8"/>
      <c r="GM250" s="8"/>
      <c r="GN250" s="8"/>
      <c r="GO250" s="8"/>
      <c r="GP250" s="8"/>
      <c r="GQ250" s="8"/>
      <c r="GR250" s="8"/>
      <c r="GS250" s="8"/>
      <c r="GT250" s="8"/>
      <c r="GU250" s="8"/>
      <c r="GV250" s="8"/>
      <c r="GW250" s="8"/>
      <c r="GX250" s="8"/>
      <c r="GY250" s="8"/>
      <c r="GZ250" s="8"/>
      <c r="HA250" s="8"/>
      <c r="HB250" s="8"/>
      <c r="HC250" s="8"/>
      <c r="HD250" s="8"/>
      <c r="HE250" s="8"/>
      <c r="HF250" s="8"/>
      <c r="HG250" s="8"/>
      <c r="HH250" s="8"/>
      <c r="HI250" s="8"/>
      <c r="HJ250" s="8"/>
      <c r="HK250" s="8"/>
      <c r="HL250" s="8"/>
      <c r="HM250" s="8"/>
      <c r="HN250" s="8"/>
      <c r="HO250" s="8"/>
      <c r="HP250" s="8"/>
      <c r="HQ250" s="8"/>
      <c r="HR250" s="8"/>
      <c r="HS250" s="8"/>
      <c r="HT250" s="8"/>
      <c r="HU250" s="8"/>
      <c r="HV250" s="8"/>
      <c r="HW250" s="8"/>
      <c r="HX250" s="8"/>
      <c r="HY250" s="8"/>
      <c r="HZ250" s="8"/>
      <c r="IA250" s="8"/>
      <c r="IB250" s="8"/>
      <c r="IC250" s="8"/>
      <c r="ID250" s="8"/>
    </row>
    <row r="251" spans="5:23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c r="EA251" s="8"/>
      <c r="EB251" s="8"/>
      <c r="EC251" s="8"/>
      <c r="ED251" s="8"/>
      <c r="EE251" s="8"/>
      <c r="EF251" s="8"/>
      <c r="EG251" s="8"/>
      <c r="EH251" s="8"/>
      <c r="EI251" s="8"/>
      <c r="EJ251" s="8"/>
      <c r="EK251" s="8"/>
      <c r="EL251" s="8"/>
      <c r="EM251" s="8"/>
      <c r="EN251" s="8"/>
      <c r="EO251" s="8"/>
      <c r="EP251" s="8"/>
      <c r="EQ251" s="8"/>
      <c r="ER251" s="8"/>
      <c r="ES251" s="8"/>
      <c r="ET251" s="8"/>
      <c r="EU251" s="8"/>
      <c r="EV251" s="8"/>
      <c r="EW251" s="8"/>
      <c r="EX251" s="8"/>
      <c r="EY251" s="8"/>
      <c r="EZ251" s="8"/>
      <c r="FA251" s="8"/>
      <c r="FB251" s="8"/>
      <c r="FC251" s="8"/>
      <c r="FD251" s="8"/>
      <c r="FE251" s="8"/>
      <c r="FF251" s="8"/>
      <c r="FG251" s="8"/>
      <c r="FH251" s="8"/>
      <c r="FI251" s="8"/>
      <c r="FJ251" s="8"/>
      <c r="FK251" s="8"/>
      <c r="FL251" s="8"/>
      <c r="FM251" s="8"/>
      <c r="FN251" s="8"/>
      <c r="FO251" s="8"/>
      <c r="FP251" s="8"/>
      <c r="FQ251" s="8"/>
      <c r="FR251" s="8"/>
      <c r="FS251" s="8"/>
      <c r="FT251" s="8"/>
      <c r="FU251" s="8"/>
      <c r="FV251" s="8"/>
      <c r="FW251" s="8"/>
      <c r="FX251" s="8"/>
      <c r="FY251" s="8"/>
      <c r="FZ251" s="8"/>
      <c r="GA251" s="8"/>
      <c r="GB251" s="8"/>
      <c r="GC251" s="8"/>
      <c r="GD251" s="8"/>
      <c r="GE251" s="8"/>
      <c r="GF251" s="8"/>
      <c r="GG251" s="8"/>
      <c r="GH251" s="8"/>
      <c r="GI251" s="8"/>
      <c r="GJ251" s="8"/>
      <c r="GK251" s="8"/>
      <c r="GL251" s="8"/>
      <c r="GM251" s="8"/>
      <c r="GN251" s="8"/>
      <c r="GO251" s="8"/>
      <c r="GP251" s="8"/>
      <c r="GQ251" s="8"/>
      <c r="GR251" s="8"/>
      <c r="GS251" s="8"/>
      <c r="GT251" s="8"/>
      <c r="GU251" s="8"/>
      <c r="GV251" s="8"/>
      <c r="GW251" s="8"/>
      <c r="GX251" s="8"/>
      <c r="GY251" s="8"/>
      <c r="GZ251" s="8"/>
      <c r="HA251" s="8"/>
      <c r="HB251" s="8"/>
      <c r="HC251" s="8"/>
      <c r="HD251" s="8"/>
      <c r="HE251" s="8"/>
      <c r="HF251" s="8"/>
      <c r="HG251" s="8"/>
      <c r="HH251" s="8"/>
      <c r="HI251" s="8"/>
      <c r="HJ251" s="8"/>
      <c r="HK251" s="8"/>
      <c r="HL251" s="8"/>
      <c r="HM251" s="8"/>
      <c r="HN251" s="8"/>
      <c r="HO251" s="8"/>
      <c r="HP251" s="8"/>
      <c r="HQ251" s="8"/>
      <c r="HR251" s="8"/>
      <c r="HS251" s="8"/>
      <c r="HT251" s="8"/>
      <c r="HU251" s="8"/>
      <c r="HV251" s="8"/>
      <c r="HW251" s="8"/>
      <c r="HX251" s="8"/>
      <c r="HY251" s="8"/>
      <c r="HZ251" s="8"/>
      <c r="IA251" s="8"/>
      <c r="IB251" s="8"/>
      <c r="IC251" s="8"/>
      <c r="ID251" s="8"/>
    </row>
    <row r="252" spans="5:23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c r="DM252" s="8"/>
      <c r="DN252" s="8"/>
      <c r="DO252" s="8"/>
      <c r="DP252" s="8"/>
      <c r="DQ252" s="8"/>
      <c r="DR252" s="8"/>
      <c r="DS252" s="8"/>
      <c r="DT252" s="8"/>
      <c r="DU252" s="8"/>
      <c r="DV252" s="8"/>
      <c r="DW252" s="8"/>
      <c r="DX252" s="8"/>
      <c r="DY252" s="8"/>
      <c r="DZ252" s="8"/>
      <c r="EA252" s="8"/>
      <c r="EB252" s="8"/>
      <c r="EC252" s="8"/>
      <c r="ED252" s="8"/>
      <c r="EE252" s="8"/>
      <c r="EF252" s="8"/>
      <c r="EG252" s="8"/>
      <c r="EH252" s="8"/>
      <c r="EI252" s="8"/>
      <c r="EJ252" s="8"/>
      <c r="EK252" s="8"/>
      <c r="EL252" s="8"/>
      <c r="EM252" s="8"/>
      <c r="EN252" s="8"/>
      <c r="EO252" s="8"/>
      <c r="EP252" s="8"/>
      <c r="EQ252" s="8"/>
      <c r="ER252" s="8"/>
      <c r="ES252" s="8"/>
      <c r="ET252" s="8"/>
      <c r="EU252" s="8"/>
      <c r="EV252" s="8"/>
      <c r="EW252" s="8"/>
      <c r="EX252" s="8"/>
      <c r="EY252" s="8"/>
      <c r="EZ252" s="8"/>
      <c r="FA252" s="8"/>
      <c r="FB252" s="8"/>
      <c r="FC252" s="8"/>
      <c r="FD252" s="8"/>
      <c r="FE252" s="8"/>
      <c r="FF252" s="8"/>
      <c r="FG252" s="8"/>
      <c r="FH252" s="8"/>
      <c r="FI252" s="8"/>
      <c r="FJ252" s="8"/>
      <c r="FK252" s="8"/>
      <c r="FL252" s="8"/>
      <c r="FM252" s="8"/>
      <c r="FN252" s="8"/>
      <c r="FO252" s="8"/>
      <c r="FP252" s="8"/>
      <c r="FQ252" s="8"/>
      <c r="FR252" s="8"/>
      <c r="FS252" s="8"/>
      <c r="FT252" s="8"/>
      <c r="FU252" s="8"/>
      <c r="FV252" s="8"/>
      <c r="FW252" s="8"/>
      <c r="FX252" s="8"/>
      <c r="FY252" s="8"/>
      <c r="FZ252" s="8"/>
      <c r="GA252" s="8"/>
      <c r="GB252" s="8"/>
      <c r="GC252" s="8"/>
      <c r="GD252" s="8"/>
      <c r="GE252" s="8"/>
      <c r="GF252" s="8"/>
      <c r="GG252" s="8"/>
      <c r="GH252" s="8"/>
      <c r="GI252" s="8"/>
      <c r="GJ252" s="8"/>
      <c r="GK252" s="8"/>
      <c r="GL252" s="8"/>
      <c r="GM252" s="8"/>
      <c r="GN252" s="8"/>
      <c r="GO252" s="8"/>
      <c r="GP252" s="8"/>
      <c r="GQ252" s="8"/>
      <c r="GR252" s="8"/>
      <c r="GS252" s="8"/>
      <c r="GT252" s="8"/>
      <c r="GU252" s="8"/>
      <c r="GV252" s="8"/>
      <c r="GW252" s="8"/>
      <c r="GX252" s="8"/>
      <c r="GY252" s="8"/>
      <c r="GZ252" s="8"/>
      <c r="HA252" s="8"/>
      <c r="HB252" s="8"/>
      <c r="HC252" s="8"/>
      <c r="HD252" s="8"/>
      <c r="HE252" s="8"/>
      <c r="HF252" s="8"/>
      <c r="HG252" s="8"/>
      <c r="HH252" s="8"/>
      <c r="HI252" s="8"/>
      <c r="HJ252" s="8"/>
      <c r="HK252" s="8"/>
      <c r="HL252" s="8"/>
      <c r="HM252" s="8"/>
      <c r="HN252" s="8"/>
      <c r="HO252" s="8"/>
      <c r="HP252" s="8"/>
      <c r="HQ252" s="8"/>
      <c r="HR252" s="8"/>
      <c r="HS252" s="8"/>
      <c r="HT252" s="8"/>
      <c r="HU252" s="8"/>
      <c r="HV252" s="8"/>
      <c r="HW252" s="8"/>
      <c r="HX252" s="8"/>
      <c r="HY252" s="8"/>
      <c r="HZ252" s="8"/>
      <c r="IA252" s="8"/>
      <c r="IB252" s="8"/>
      <c r="IC252" s="8"/>
      <c r="ID252" s="8"/>
    </row>
    <row r="253" spans="5:23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c r="DQ253" s="8"/>
      <c r="DR253" s="8"/>
      <c r="DS253" s="8"/>
      <c r="DT253" s="8"/>
      <c r="DU253" s="8"/>
      <c r="DV253" s="8"/>
      <c r="DW253" s="8"/>
      <c r="DX253" s="8"/>
      <c r="DY253" s="8"/>
      <c r="DZ253" s="8"/>
      <c r="EA253" s="8"/>
      <c r="EB253" s="8"/>
      <c r="EC253" s="8"/>
      <c r="ED253" s="8"/>
      <c r="EE253" s="8"/>
      <c r="EF253" s="8"/>
      <c r="EG253" s="8"/>
      <c r="EH253" s="8"/>
      <c r="EI253" s="8"/>
      <c r="EJ253" s="8"/>
      <c r="EK253" s="8"/>
      <c r="EL253" s="8"/>
      <c r="EM253" s="8"/>
      <c r="EN253" s="8"/>
      <c r="EO253" s="8"/>
      <c r="EP253" s="8"/>
      <c r="EQ253" s="8"/>
      <c r="ER253" s="8"/>
      <c r="ES253" s="8"/>
      <c r="ET253" s="8"/>
      <c r="EU253" s="8"/>
      <c r="EV253" s="8"/>
      <c r="EW253" s="8"/>
      <c r="EX253" s="8"/>
      <c r="EY253" s="8"/>
      <c r="EZ253" s="8"/>
      <c r="FA253" s="8"/>
      <c r="FB253" s="8"/>
      <c r="FC253" s="8"/>
      <c r="FD253" s="8"/>
      <c r="FE253" s="8"/>
      <c r="FF253" s="8"/>
      <c r="FG253" s="8"/>
      <c r="FH253" s="8"/>
      <c r="FI253" s="8"/>
      <c r="FJ253" s="8"/>
      <c r="FK253" s="8"/>
      <c r="FL253" s="8"/>
      <c r="FM253" s="8"/>
      <c r="FN253" s="8"/>
      <c r="FO253" s="8"/>
      <c r="FP253" s="8"/>
      <c r="FQ253" s="8"/>
      <c r="FR253" s="8"/>
      <c r="FS253" s="8"/>
      <c r="FT253" s="8"/>
      <c r="FU253" s="8"/>
      <c r="FV253" s="8"/>
      <c r="FW253" s="8"/>
      <c r="FX253" s="8"/>
      <c r="FY253" s="8"/>
      <c r="FZ253" s="8"/>
      <c r="GA253" s="8"/>
      <c r="GB253" s="8"/>
      <c r="GC253" s="8"/>
      <c r="GD253" s="8"/>
      <c r="GE253" s="8"/>
      <c r="GF253" s="8"/>
      <c r="GG253" s="8"/>
      <c r="GH253" s="8"/>
      <c r="GI253" s="8"/>
      <c r="GJ253" s="8"/>
      <c r="GK253" s="8"/>
      <c r="GL253" s="8"/>
      <c r="GM253" s="8"/>
      <c r="GN253" s="8"/>
      <c r="GO253" s="8"/>
      <c r="GP253" s="8"/>
      <c r="GQ253" s="8"/>
      <c r="GR253" s="8"/>
      <c r="GS253" s="8"/>
      <c r="GT253" s="8"/>
      <c r="GU253" s="8"/>
      <c r="GV253" s="8"/>
      <c r="GW253" s="8"/>
      <c r="GX253" s="8"/>
      <c r="GY253" s="8"/>
      <c r="GZ253" s="8"/>
      <c r="HA253" s="8"/>
      <c r="HB253" s="8"/>
      <c r="HC253" s="8"/>
      <c r="HD253" s="8"/>
      <c r="HE253" s="8"/>
      <c r="HF253" s="8"/>
      <c r="HG253" s="8"/>
      <c r="HH253" s="8"/>
      <c r="HI253" s="8"/>
      <c r="HJ253" s="8"/>
      <c r="HK253" s="8"/>
      <c r="HL253" s="8"/>
      <c r="HM253" s="8"/>
      <c r="HN253" s="8"/>
      <c r="HO253" s="8"/>
      <c r="HP253" s="8"/>
      <c r="HQ253" s="8"/>
      <c r="HR253" s="8"/>
      <c r="HS253" s="8"/>
      <c r="HT253" s="8"/>
      <c r="HU253" s="8"/>
      <c r="HV253" s="8"/>
      <c r="HW253" s="8"/>
      <c r="HX253" s="8"/>
      <c r="HY253" s="8"/>
      <c r="HZ253" s="8"/>
      <c r="IA253" s="8"/>
      <c r="IB253" s="8"/>
      <c r="IC253" s="8"/>
      <c r="ID253" s="8"/>
    </row>
    <row r="254" spans="5:23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c r="EA254" s="8"/>
      <c r="EB254" s="8"/>
      <c r="EC254" s="8"/>
      <c r="ED254" s="8"/>
      <c r="EE254" s="8"/>
      <c r="EF254" s="8"/>
      <c r="EG254" s="8"/>
      <c r="EH254" s="8"/>
      <c r="EI254" s="8"/>
      <c r="EJ254" s="8"/>
      <c r="EK254" s="8"/>
      <c r="EL254" s="8"/>
      <c r="EM254" s="8"/>
      <c r="EN254" s="8"/>
      <c r="EO254" s="8"/>
      <c r="EP254" s="8"/>
      <c r="EQ254" s="8"/>
      <c r="ER254" s="8"/>
      <c r="ES254" s="8"/>
      <c r="ET254" s="8"/>
      <c r="EU254" s="8"/>
      <c r="EV254" s="8"/>
      <c r="EW254" s="8"/>
      <c r="EX254" s="8"/>
      <c r="EY254" s="8"/>
      <c r="EZ254" s="8"/>
      <c r="FA254" s="8"/>
      <c r="FB254" s="8"/>
      <c r="FC254" s="8"/>
      <c r="FD254" s="8"/>
      <c r="FE254" s="8"/>
      <c r="FF254" s="8"/>
      <c r="FG254" s="8"/>
      <c r="FH254" s="8"/>
      <c r="FI254" s="8"/>
      <c r="FJ254" s="8"/>
      <c r="FK254" s="8"/>
      <c r="FL254" s="8"/>
      <c r="FM254" s="8"/>
      <c r="FN254" s="8"/>
      <c r="FO254" s="8"/>
      <c r="FP254" s="8"/>
      <c r="FQ254" s="8"/>
      <c r="FR254" s="8"/>
      <c r="FS254" s="8"/>
      <c r="FT254" s="8"/>
      <c r="FU254" s="8"/>
      <c r="FV254" s="8"/>
      <c r="FW254" s="8"/>
      <c r="FX254" s="8"/>
      <c r="FY254" s="8"/>
      <c r="FZ254" s="8"/>
      <c r="GA254" s="8"/>
      <c r="GB254" s="8"/>
      <c r="GC254" s="8"/>
      <c r="GD254" s="8"/>
      <c r="GE254" s="8"/>
      <c r="GF254" s="8"/>
      <c r="GG254" s="8"/>
      <c r="GH254" s="8"/>
      <c r="GI254" s="8"/>
      <c r="GJ254" s="8"/>
      <c r="GK254" s="8"/>
      <c r="GL254" s="8"/>
      <c r="GM254" s="8"/>
      <c r="GN254" s="8"/>
      <c r="GO254" s="8"/>
      <c r="GP254" s="8"/>
      <c r="GQ254" s="8"/>
      <c r="GR254" s="8"/>
      <c r="GS254" s="8"/>
      <c r="GT254" s="8"/>
      <c r="GU254" s="8"/>
      <c r="GV254" s="8"/>
      <c r="GW254" s="8"/>
      <c r="GX254" s="8"/>
      <c r="GY254" s="8"/>
      <c r="GZ254" s="8"/>
      <c r="HA254" s="8"/>
      <c r="HB254" s="8"/>
      <c r="HC254" s="8"/>
      <c r="HD254" s="8"/>
      <c r="HE254" s="8"/>
      <c r="HF254" s="8"/>
      <c r="HG254" s="8"/>
      <c r="HH254" s="8"/>
      <c r="HI254" s="8"/>
      <c r="HJ254" s="8"/>
      <c r="HK254" s="8"/>
      <c r="HL254" s="8"/>
      <c r="HM254" s="8"/>
      <c r="HN254" s="8"/>
      <c r="HO254" s="8"/>
      <c r="HP254" s="8"/>
      <c r="HQ254" s="8"/>
      <c r="HR254" s="8"/>
      <c r="HS254" s="8"/>
      <c r="HT254" s="8"/>
      <c r="HU254" s="8"/>
      <c r="HV254" s="8"/>
      <c r="HW254" s="8"/>
      <c r="HX254" s="8"/>
      <c r="HY254" s="8"/>
      <c r="HZ254" s="8"/>
      <c r="IA254" s="8"/>
      <c r="IB254" s="8"/>
      <c r="IC254" s="8"/>
      <c r="ID254" s="8"/>
    </row>
    <row r="255" spans="5:23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c r="DL255" s="8"/>
      <c r="DM255" s="8"/>
      <c r="DN255" s="8"/>
      <c r="DO255" s="8"/>
      <c r="DP255" s="8"/>
      <c r="DQ255" s="8"/>
      <c r="DR255" s="8"/>
      <c r="DS255" s="8"/>
      <c r="DT255" s="8"/>
      <c r="DU255" s="8"/>
      <c r="DV255" s="8"/>
      <c r="DW255" s="8"/>
      <c r="DX255" s="8"/>
      <c r="DY255" s="8"/>
      <c r="DZ255" s="8"/>
      <c r="EA255" s="8"/>
      <c r="EB255" s="8"/>
      <c r="EC255" s="8"/>
      <c r="ED255" s="8"/>
      <c r="EE255" s="8"/>
      <c r="EF255" s="8"/>
      <c r="EG255" s="8"/>
      <c r="EH255" s="8"/>
      <c r="EI255" s="8"/>
      <c r="EJ255" s="8"/>
      <c r="EK255" s="8"/>
      <c r="EL255" s="8"/>
      <c r="EM255" s="8"/>
      <c r="EN255" s="8"/>
      <c r="EO255" s="8"/>
      <c r="EP255" s="8"/>
      <c r="EQ255" s="8"/>
      <c r="ER255" s="8"/>
      <c r="ES255" s="8"/>
      <c r="ET255" s="8"/>
      <c r="EU255" s="8"/>
      <c r="EV255" s="8"/>
      <c r="EW255" s="8"/>
      <c r="EX255" s="8"/>
      <c r="EY255" s="8"/>
      <c r="EZ255" s="8"/>
      <c r="FA255" s="8"/>
      <c r="FB255" s="8"/>
      <c r="FC255" s="8"/>
      <c r="FD255" s="8"/>
      <c r="FE255" s="8"/>
      <c r="FF255" s="8"/>
      <c r="FG255" s="8"/>
      <c r="FH255" s="8"/>
      <c r="FI255" s="8"/>
      <c r="FJ255" s="8"/>
      <c r="FK255" s="8"/>
      <c r="FL255" s="8"/>
      <c r="FM255" s="8"/>
      <c r="FN255" s="8"/>
      <c r="FO255" s="8"/>
      <c r="FP255" s="8"/>
      <c r="FQ255" s="8"/>
      <c r="FR255" s="8"/>
      <c r="FS255" s="8"/>
      <c r="FT255" s="8"/>
      <c r="FU255" s="8"/>
      <c r="FV255" s="8"/>
      <c r="FW255" s="8"/>
      <c r="FX255" s="8"/>
      <c r="FY255" s="8"/>
      <c r="FZ255" s="8"/>
      <c r="GA255" s="8"/>
      <c r="GB255" s="8"/>
      <c r="GC255" s="8"/>
      <c r="GD255" s="8"/>
      <c r="GE255" s="8"/>
      <c r="GF255" s="8"/>
      <c r="GG255" s="8"/>
      <c r="GH255" s="8"/>
      <c r="GI255" s="8"/>
      <c r="GJ255" s="8"/>
      <c r="GK255" s="8"/>
      <c r="GL255" s="8"/>
      <c r="GM255" s="8"/>
      <c r="GN255" s="8"/>
      <c r="GO255" s="8"/>
      <c r="GP255" s="8"/>
      <c r="GQ255" s="8"/>
      <c r="GR255" s="8"/>
      <c r="GS255" s="8"/>
      <c r="GT255" s="8"/>
      <c r="GU255" s="8"/>
      <c r="GV255" s="8"/>
      <c r="GW255" s="8"/>
      <c r="GX255" s="8"/>
      <c r="GY255" s="8"/>
      <c r="GZ255" s="8"/>
      <c r="HA255" s="8"/>
      <c r="HB255" s="8"/>
      <c r="HC255" s="8"/>
      <c r="HD255" s="8"/>
      <c r="HE255" s="8"/>
      <c r="HF255" s="8"/>
      <c r="HG255" s="8"/>
      <c r="HH255" s="8"/>
      <c r="HI255" s="8"/>
      <c r="HJ255" s="8"/>
      <c r="HK255" s="8"/>
      <c r="HL255" s="8"/>
      <c r="HM255" s="8"/>
      <c r="HN255" s="8"/>
      <c r="HO255" s="8"/>
      <c r="HP255" s="8"/>
      <c r="HQ255" s="8"/>
      <c r="HR255" s="8"/>
      <c r="HS255" s="8"/>
      <c r="HT255" s="8"/>
      <c r="HU255" s="8"/>
      <c r="HV255" s="8"/>
      <c r="HW255" s="8"/>
      <c r="HX255" s="8"/>
      <c r="HY255" s="8"/>
      <c r="HZ255" s="8"/>
      <c r="IA255" s="8"/>
      <c r="IB255" s="8"/>
      <c r="IC255" s="8"/>
      <c r="ID255" s="8"/>
    </row>
    <row r="256" spans="5:23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c r="EA256" s="8"/>
      <c r="EB256" s="8"/>
      <c r="EC256" s="8"/>
      <c r="ED256" s="8"/>
      <c r="EE256" s="8"/>
      <c r="EF256" s="8"/>
      <c r="EG256" s="8"/>
      <c r="EH256" s="8"/>
      <c r="EI256" s="8"/>
      <c r="EJ256" s="8"/>
      <c r="EK256" s="8"/>
      <c r="EL256" s="8"/>
      <c r="EM256" s="8"/>
      <c r="EN256" s="8"/>
      <c r="EO256" s="8"/>
      <c r="EP256" s="8"/>
      <c r="EQ256" s="8"/>
      <c r="ER256" s="8"/>
      <c r="ES256" s="8"/>
      <c r="ET256" s="8"/>
      <c r="EU256" s="8"/>
      <c r="EV256" s="8"/>
      <c r="EW256" s="8"/>
      <c r="EX256" s="8"/>
      <c r="EY256" s="8"/>
      <c r="EZ256" s="8"/>
      <c r="FA256" s="8"/>
      <c r="FB256" s="8"/>
      <c r="FC256" s="8"/>
      <c r="FD256" s="8"/>
      <c r="FE256" s="8"/>
      <c r="FF256" s="8"/>
      <c r="FG256" s="8"/>
      <c r="FH256" s="8"/>
      <c r="FI256" s="8"/>
      <c r="FJ256" s="8"/>
      <c r="FK256" s="8"/>
      <c r="FL256" s="8"/>
      <c r="FM256" s="8"/>
      <c r="FN256" s="8"/>
      <c r="FO256" s="8"/>
      <c r="FP256" s="8"/>
      <c r="FQ256" s="8"/>
      <c r="FR256" s="8"/>
      <c r="FS256" s="8"/>
      <c r="FT256" s="8"/>
      <c r="FU256" s="8"/>
      <c r="FV256" s="8"/>
      <c r="FW256" s="8"/>
      <c r="FX256" s="8"/>
      <c r="FY256" s="8"/>
      <c r="FZ256" s="8"/>
      <c r="GA256" s="8"/>
      <c r="GB256" s="8"/>
      <c r="GC256" s="8"/>
      <c r="GD256" s="8"/>
      <c r="GE256" s="8"/>
      <c r="GF256" s="8"/>
      <c r="GG256" s="8"/>
      <c r="GH256" s="8"/>
      <c r="GI256" s="8"/>
      <c r="GJ256" s="8"/>
      <c r="GK256" s="8"/>
      <c r="GL256" s="8"/>
      <c r="GM256" s="8"/>
      <c r="GN256" s="8"/>
      <c r="GO256" s="8"/>
      <c r="GP256" s="8"/>
      <c r="GQ256" s="8"/>
      <c r="GR256" s="8"/>
      <c r="GS256" s="8"/>
      <c r="GT256" s="8"/>
      <c r="GU256" s="8"/>
      <c r="GV256" s="8"/>
      <c r="GW256" s="8"/>
      <c r="GX256" s="8"/>
      <c r="GY256" s="8"/>
      <c r="GZ256" s="8"/>
      <c r="HA256" s="8"/>
      <c r="HB256" s="8"/>
      <c r="HC256" s="8"/>
      <c r="HD256" s="8"/>
      <c r="HE256" s="8"/>
      <c r="HF256" s="8"/>
      <c r="HG256" s="8"/>
      <c r="HH256" s="8"/>
      <c r="HI256" s="8"/>
      <c r="HJ256" s="8"/>
      <c r="HK256" s="8"/>
      <c r="HL256" s="8"/>
      <c r="HM256" s="8"/>
      <c r="HN256" s="8"/>
      <c r="HO256" s="8"/>
      <c r="HP256" s="8"/>
      <c r="HQ256" s="8"/>
      <c r="HR256" s="8"/>
      <c r="HS256" s="8"/>
      <c r="HT256" s="8"/>
      <c r="HU256" s="8"/>
      <c r="HV256" s="8"/>
      <c r="HW256" s="8"/>
      <c r="HX256" s="8"/>
      <c r="HY256" s="8"/>
      <c r="HZ256" s="8"/>
      <c r="IA256" s="8"/>
      <c r="IB256" s="8"/>
      <c r="IC256" s="8"/>
      <c r="ID256" s="8"/>
    </row>
    <row r="257" spans="5:23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c r="DQ257" s="8"/>
      <c r="DR257" s="8"/>
      <c r="DS257" s="8"/>
      <c r="DT257" s="8"/>
      <c r="DU257" s="8"/>
      <c r="DV257" s="8"/>
      <c r="DW257" s="8"/>
      <c r="DX257" s="8"/>
      <c r="DY257" s="8"/>
      <c r="DZ257" s="8"/>
      <c r="EA257" s="8"/>
      <c r="EB257" s="8"/>
      <c r="EC257" s="8"/>
      <c r="ED257" s="8"/>
      <c r="EE257" s="8"/>
      <c r="EF257" s="8"/>
      <c r="EG257" s="8"/>
      <c r="EH257" s="8"/>
      <c r="EI257" s="8"/>
      <c r="EJ257" s="8"/>
      <c r="EK257" s="8"/>
      <c r="EL257" s="8"/>
      <c r="EM257" s="8"/>
      <c r="EN257" s="8"/>
      <c r="EO257" s="8"/>
      <c r="EP257" s="8"/>
      <c r="EQ257" s="8"/>
      <c r="ER257" s="8"/>
      <c r="ES257" s="8"/>
      <c r="ET257" s="8"/>
      <c r="EU257" s="8"/>
      <c r="EV257" s="8"/>
      <c r="EW257" s="8"/>
      <c r="EX257" s="8"/>
      <c r="EY257" s="8"/>
      <c r="EZ257" s="8"/>
      <c r="FA257" s="8"/>
      <c r="FB257" s="8"/>
      <c r="FC257" s="8"/>
      <c r="FD257" s="8"/>
      <c r="FE257" s="8"/>
      <c r="FF257" s="8"/>
      <c r="FG257" s="8"/>
      <c r="FH257" s="8"/>
      <c r="FI257" s="8"/>
      <c r="FJ257" s="8"/>
      <c r="FK257" s="8"/>
      <c r="FL257" s="8"/>
      <c r="FM257" s="8"/>
      <c r="FN257" s="8"/>
      <c r="FO257" s="8"/>
      <c r="FP257" s="8"/>
      <c r="FQ257" s="8"/>
      <c r="FR257" s="8"/>
      <c r="FS257" s="8"/>
      <c r="FT257" s="8"/>
      <c r="FU257" s="8"/>
      <c r="FV257" s="8"/>
      <c r="FW257" s="8"/>
      <c r="FX257" s="8"/>
      <c r="FY257" s="8"/>
      <c r="FZ257" s="8"/>
      <c r="GA257" s="8"/>
      <c r="GB257" s="8"/>
      <c r="GC257" s="8"/>
      <c r="GD257" s="8"/>
      <c r="GE257" s="8"/>
      <c r="GF257" s="8"/>
      <c r="GG257" s="8"/>
      <c r="GH257" s="8"/>
      <c r="GI257" s="8"/>
      <c r="GJ257" s="8"/>
      <c r="GK257" s="8"/>
      <c r="GL257" s="8"/>
      <c r="GM257" s="8"/>
      <c r="GN257" s="8"/>
      <c r="GO257" s="8"/>
      <c r="GP257" s="8"/>
      <c r="GQ257" s="8"/>
      <c r="GR257" s="8"/>
      <c r="GS257" s="8"/>
      <c r="GT257" s="8"/>
      <c r="GU257" s="8"/>
      <c r="GV257" s="8"/>
      <c r="GW257" s="8"/>
      <c r="GX257" s="8"/>
      <c r="GY257" s="8"/>
      <c r="GZ257" s="8"/>
      <c r="HA257" s="8"/>
      <c r="HB257" s="8"/>
      <c r="HC257" s="8"/>
      <c r="HD257" s="8"/>
      <c r="HE257" s="8"/>
      <c r="HF257" s="8"/>
      <c r="HG257" s="8"/>
      <c r="HH257" s="8"/>
      <c r="HI257" s="8"/>
      <c r="HJ257" s="8"/>
      <c r="HK257" s="8"/>
      <c r="HL257" s="8"/>
      <c r="HM257" s="8"/>
      <c r="HN257" s="8"/>
      <c r="HO257" s="8"/>
      <c r="HP257" s="8"/>
      <c r="HQ257" s="8"/>
      <c r="HR257" s="8"/>
      <c r="HS257" s="8"/>
      <c r="HT257" s="8"/>
      <c r="HU257" s="8"/>
      <c r="HV257" s="8"/>
      <c r="HW257" s="8"/>
      <c r="HX257" s="8"/>
      <c r="HY257" s="8"/>
      <c r="HZ257" s="8"/>
      <c r="IA257" s="8"/>
      <c r="IB257" s="8"/>
      <c r="IC257" s="8"/>
      <c r="ID257" s="8"/>
    </row>
    <row r="258" spans="5:23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c r="EA258" s="8"/>
      <c r="EB258" s="8"/>
      <c r="EC258" s="8"/>
      <c r="ED258" s="8"/>
      <c r="EE258" s="8"/>
      <c r="EF258" s="8"/>
      <c r="EG258" s="8"/>
      <c r="EH258" s="8"/>
      <c r="EI258" s="8"/>
      <c r="EJ258" s="8"/>
      <c r="EK258" s="8"/>
      <c r="EL258" s="8"/>
      <c r="EM258" s="8"/>
      <c r="EN258" s="8"/>
      <c r="EO258" s="8"/>
      <c r="EP258" s="8"/>
      <c r="EQ258" s="8"/>
      <c r="ER258" s="8"/>
      <c r="ES258" s="8"/>
      <c r="ET258" s="8"/>
      <c r="EU258" s="8"/>
      <c r="EV258" s="8"/>
      <c r="EW258" s="8"/>
      <c r="EX258" s="8"/>
      <c r="EY258" s="8"/>
      <c r="EZ258" s="8"/>
      <c r="FA258" s="8"/>
      <c r="FB258" s="8"/>
      <c r="FC258" s="8"/>
      <c r="FD258" s="8"/>
      <c r="FE258" s="8"/>
      <c r="FF258" s="8"/>
      <c r="FG258" s="8"/>
      <c r="FH258" s="8"/>
      <c r="FI258" s="8"/>
      <c r="FJ258" s="8"/>
      <c r="FK258" s="8"/>
      <c r="FL258" s="8"/>
      <c r="FM258" s="8"/>
      <c r="FN258" s="8"/>
      <c r="FO258" s="8"/>
      <c r="FP258" s="8"/>
      <c r="FQ258" s="8"/>
      <c r="FR258" s="8"/>
      <c r="FS258" s="8"/>
      <c r="FT258" s="8"/>
      <c r="FU258" s="8"/>
      <c r="FV258" s="8"/>
      <c r="FW258" s="8"/>
      <c r="FX258" s="8"/>
      <c r="FY258" s="8"/>
      <c r="FZ258" s="8"/>
      <c r="GA258" s="8"/>
      <c r="GB258" s="8"/>
      <c r="GC258" s="8"/>
      <c r="GD258" s="8"/>
      <c r="GE258" s="8"/>
      <c r="GF258" s="8"/>
      <c r="GG258" s="8"/>
      <c r="GH258" s="8"/>
      <c r="GI258" s="8"/>
      <c r="GJ258" s="8"/>
      <c r="GK258" s="8"/>
      <c r="GL258" s="8"/>
      <c r="GM258" s="8"/>
      <c r="GN258" s="8"/>
      <c r="GO258" s="8"/>
      <c r="GP258" s="8"/>
      <c r="GQ258" s="8"/>
      <c r="GR258" s="8"/>
      <c r="GS258" s="8"/>
      <c r="GT258" s="8"/>
      <c r="GU258" s="8"/>
      <c r="GV258" s="8"/>
      <c r="GW258" s="8"/>
      <c r="GX258" s="8"/>
      <c r="GY258" s="8"/>
      <c r="GZ258" s="8"/>
      <c r="HA258" s="8"/>
      <c r="HB258" s="8"/>
      <c r="HC258" s="8"/>
      <c r="HD258" s="8"/>
      <c r="HE258" s="8"/>
      <c r="HF258" s="8"/>
      <c r="HG258" s="8"/>
      <c r="HH258" s="8"/>
      <c r="HI258" s="8"/>
      <c r="HJ258" s="8"/>
      <c r="HK258" s="8"/>
      <c r="HL258" s="8"/>
      <c r="HM258" s="8"/>
      <c r="HN258" s="8"/>
      <c r="HO258" s="8"/>
      <c r="HP258" s="8"/>
      <c r="HQ258" s="8"/>
      <c r="HR258" s="8"/>
      <c r="HS258" s="8"/>
      <c r="HT258" s="8"/>
      <c r="HU258" s="8"/>
      <c r="HV258" s="8"/>
      <c r="HW258" s="8"/>
      <c r="HX258" s="8"/>
      <c r="HY258" s="8"/>
      <c r="HZ258" s="8"/>
      <c r="IA258" s="8"/>
      <c r="IB258" s="8"/>
      <c r="IC258" s="8"/>
      <c r="ID258" s="8"/>
    </row>
    <row r="259" spans="5:23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c r="DM259" s="8"/>
      <c r="DN259" s="8"/>
      <c r="DO259" s="8"/>
      <c r="DP259" s="8"/>
      <c r="DQ259" s="8"/>
      <c r="DR259" s="8"/>
      <c r="DS259" s="8"/>
      <c r="DT259" s="8"/>
      <c r="DU259" s="8"/>
      <c r="DV259" s="8"/>
      <c r="DW259" s="8"/>
      <c r="DX259" s="8"/>
      <c r="DY259" s="8"/>
      <c r="DZ259" s="8"/>
      <c r="EA259" s="8"/>
      <c r="EB259" s="8"/>
      <c r="EC259" s="8"/>
      <c r="ED259" s="8"/>
      <c r="EE259" s="8"/>
      <c r="EF259" s="8"/>
      <c r="EG259" s="8"/>
      <c r="EH259" s="8"/>
      <c r="EI259" s="8"/>
      <c r="EJ259" s="8"/>
      <c r="EK259" s="8"/>
      <c r="EL259" s="8"/>
      <c r="EM259" s="8"/>
      <c r="EN259" s="8"/>
      <c r="EO259" s="8"/>
      <c r="EP259" s="8"/>
      <c r="EQ259" s="8"/>
      <c r="ER259" s="8"/>
      <c r="ES259" s="8"/>
      <c r="ET259" s="8"/>
      <c r="EU259" s="8"/>
      <c r="EV259" s="8"/>
      <c r="EW259" s="8"/>
      <c r="EX259" s="8"/>
      <c r="EY259" s="8"/>
      <c r="EZ259" s="8"/>
      <c r="FA259" s="8"/>
      <c r="FB259" s="8"/>
      <c r="FC259" s="8"/>
      <c r="FD259" s="8"/>
      <c r="FE259" s="8"/>
      <c r="FF259" s="8"/>
      <c r="FG259" s="8"/>
      <c r="FH259" s="8"/>
      <c r="FI259" s="8"/>
      <c r="FJ259" s="8"/>
      <c r="FK259" s="8"/>
      <c r="FL259" s="8"/>
      <c r="FM259" s="8"/>
      <c r="FN259" s="8"/>
      <c r="FO259" s="8"/>
      <c r="FP259" s="8"/>
      <c r="FQ259" s="8"/>
      <c r="FR259" s="8"/>
      <c r="FS259" s="8"/>
      <c r="FT259" s="8"/>
      <c r="FU259" s="8"/>
      <c r="FV259" s="8"/>
      <c r="FW259" s="8"/>
      <c r="FX259" s="8"/>
      <c r="FY259" s="8"/>
      <c r="FZ259" s="8"/>
      <c r="GA259" s="8"/>
      <c r="GB259" s="8"/>
      <c r="GC259" s="8"/>
      <c r="GD259" s="8"/>
      <c r="GE259" s="8"/>
      <c r="GF259" s="8"/>
      <c r="GG259" s="8"/>
      <c r="GH259" s="8"/>
      <c r="GI259" s="8"/>
      <c r="GJ259" s="8"/>
      <c r="GK259" s="8"/>
      <c r="GL259" s="8"/>
      <c r="GM259" s="8"/>
      <c r="GN259" s="8"/>
      <c r="GO259" s="8"/>
      <c r="GP259" s="8"/>
      <c r="GQ259" s="8"/>
      <c r="GR259" s="8"/>
      <c r="GS259" s="8"/>
      <c r="GT259" s="8"/>
      <c r="GU259" s="8"/>
      <c r="GV259" s="8"/>
      <c r="GW259" s="8"/>
      <c r="GX259" s="8"/>
      <c r="GY259" s="8"/>
      <c r="GZ259" s="8"/>
      <c r="HA259" s="8"/>
      <c r="HB259" s="8"/>
      <c r="HC259" s="8"/>
      <c r="HD259" s="8"/>
      <c r="HE259" s="8"/>
      <c r="HF259" s="8"/>
      <c r="HG259" s="8"/>
      <c r="HH259" s="8"/>
      <c r="HI259" s="8"/>
      <c r="HJ259" s="8"/>
      <c r="HK259" s="8"/>
      <c r="HL259" s="8"/>
      <c r="HM259" s="8"/>
      <c r="HN259" s="8"/>
      <c r="HO259" s="8"/>
      <c r="HP259" s="8"/>
      <c r="HQ259" s="8"/>
      <c r="HR259" s="8"/>
      <c r="HS259" s="8"/>
      <c r="HT259" s="8"/>
      <c r="HU259" s="8"/>
      <c r="HV259" s="8"/>
      <c r="HW259" s="8"/>
      <c r="HX259" s="8"/>
      <c r="HY259" s="8"/>
      <c r="HZ259" s="8"/>
      <c r="IA259" s="8"/>
      <c r="IB259" s="8"/>
      <c r="IC259" s="8"/>
      <c r="ID259" s="8"/>
    </row>
    <row r="260" spans="5:23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c r="DL260" s="8"/>
      <c r="DM260" s="8"/>
      <c r="DN260" s="8"/>
      <c r="DO260" s="8"/>
      <c r="DP260" s="8"/>
      <c r="DQ260" s="8"/>
      <c r="DR260" s="8"/>
      <c r="DS260" s="8"/>
      <c r="DT260" s="8"/>
      <c r="DU260" s="8"/>
      <c r="DV260" s="8"/>
      <c r="DW260" s="8"/>
      <c r="DX260" s="8"/>
      <c r="DY260" s="8"/>
      <c r="DZ260" s="8"/>
      <c r="EA260" s="8"/>
      <c r="EB260" s="8"/>
      <c r="EC260" s="8"/>
      <c r="ED260" s="8"/>
      <c r="EE260" s="8"/>
      <c r="EF260" s="8"/>
      <c r="EG260" s="8"/>
      <c r="EH260" s="8"/>
      <c r="EI260" s="8"/>
      <c r="EJ260" s="8"/>
      <c r="EK260" s="8"/>
      <c r="EL260" s="8"/>
      <c r="EM260" s="8"/>
      <c r="EN260" s="8"/>
      <c r="EO260" s="8"/>
      <c r="EP260" s="8"/>
      <c r="EQ260" s="8"/>
      <c r="ER260" s="8"/>
      <c r="ES260" s="8"/>
      <c r="ET260" s="8"/>
      <c r="EU260" s="8"/>
      <c r="EV260" s="8"/>
      <c r="EW260" s="8"/>
      <c r="EX260" s="8"/>
      <c r="EY260" s="8"/>
      <c r="EZ260" s="8"/>
      <c r="FA260" s="8"/>
      <c r="FB260" s="8"/>
      <c r="FC260" s="8"/>
      <c r="FD260" s="8"/>
      <c r="FE260" s="8"/>
      <c r="FF260" s="8"/>
      <c r="FG260" s="8"/>
      <c r="FH260" s="8"/>
      <c r="FI260" s="8"/>
      <c r="FJ260" s="8"/>
      <c r="FK260" s="8"/>
      <c r="FL260" s="8"/>
      <c r="FM260" s="8"/>
      <c r="FN260" s="8"/>
      <c r="FO260" s="8"/>
      <c r="FP260" s="8"/>
      <c r="FQ260" s="8"/>
      <c r="FR260" s="8"/>
      <c r="FS260" s="8"/>
      <c r="FT260" s="8"/>
      <c r="FU260" s="8"/>
      <c r="FV260" s="8"/>
      <c r="FW260" s="8"/>
      <c r="FX260" s="8"/>
      <c r="FY260" s="8"/>
      <c r="FZ260" s="8"/>
      <c r="GA260" s="8"/>
      <c r="GB260" s="8"/>
      <c r="GC260" s="8"/>
      <c r="GD260" s="8"/>
      <c r="GE260" s="8"/>
      <c r="GF260" s="8"/>
      <c r="GG260" s="8"/>
      <c r="GH260" s="8"/>
      <c r="GI260" s="8"/>
      <c r="GJ260" s="8"/>
      <c r="GK260" s="8"/>
      <c r="GL260" s="8"/>
      <c r="GM260" s="8"/>
      <c r="GN260" s="8"/>
      <c r="GO260" s="8"/>
      <c r="GP260" s="8"/>
      <c r="GQ260" s="8"/>
      <c r="GR260" s="8"/>
      <c r="GS260" s="8"/>
      <c r="GT260" s="8"/>
      <c r="GU260" s="8"/>
      <c r="GV260" s="8"/>
      <c r="GW260" s="8"/>
      <c r="GX260" s="8"/>
      <c r="GY260" s="8"/>
      <c r="GZ260" s="8"/>
      <c r="HA260" s="8"/>
      <c r="HB260" s="8"/>
      <c r="HC260" s="8"/>
      <c r="HD260" s="8"/>
      <c r="HE260" s="8"/>
      <c r="HF260" s="8"/>
      <c r="HG260" s="8"/>
      <c r="HH260" s="8"/>
      <c r="HI260" s="8"/>
      <c r="HJ260" s="8"/>
      <c r="HK260" s="8"/>
      <c r="HL260" s="8"/>
      <c r="HM260" s="8"/>
      <c r="HN260" s="8"/>
      <c r="HO260" s="8"/>
      <c r="HP260" s="8"/>
      <c r="HQ260" s="8"/>
      <c r="HR260" s="8"/>
      <c r="HS260" s="8"/>
      <c r="HT260" s="8"/>
      <c r="HU260" s="8"/>
      <c r="HV260" s="8"/>
      <c r="HW260" s="8"/>
      <c r="HX260" s="8"/>
      <c r="HY260" s="8"/>
      <c r="HZ260" s="8"/>
      <c r="IA260" s="8"/>
      <c r="IB260" s="8"/>
      <c r="IC260" s="8"/>
      <c r="ID260" s="8"/>
    </row>
    <row r="261" spans="5:23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c r="DL261" s="8"/>
      <c r="DM261" s="8"/>
      <c r="DN261" s="8"/>
      <c r="DO261" s="8"/>
      <c r="DP261" s="8"/>
      <c r="DQ261" s="8"/>
      <c r="DR261" s="8"/>
      <c r="DS261" s="8"/>
      <c r="DT261" s="8"/>
      <c r="DU261" s="8"/>
      <c r="DV261" s="8"/>
      <c r="DW261" s="8"/>
      <c r="DX261" s="8"/>
      <c r="DY261" s="8"/>
      <c r="DZ261" s="8"/>
      <c r="EA261" s="8"/>
      <c r="EB261" s="8"/>
      <c r="EC261" s="8"/>
      <c r="ED261" s="8"/>
      <c r="EE261" s="8"/>
      <c r="EF261" s="8"/>
      <c r="EG261" s="8"/>
      <c r="EH261" s="8"/>
      <c r="EI261" s="8"/>
      <c r="EJ261" s="8"/>
      <c r="EK261" s="8"/>
      <c r="EL261" s="8"/>
      <c r="EM261" s="8"/>
      <c r="EN261" s="8"/>
      <c r="EO261" s="8"/>
      <c r="EP261" s="8"/>
      <c r="EQ261" s="8"/>
      <c r="ER261" s="8"/>
      <c r="ES261" s="8"/>
      <c r="ET261" s="8"/>
      <c r="EU261" s="8"/>
      <c r="EV261" s="8"/>
      <c r="EW261" s="8"/>
      <c r="EX261" s="8"/>
      <c r="EY261" s="8"/>
      <c r="EZ261" s="8"/>
      <c r="FA261" s="8"/>
      <c r="FB261" s="8"/>
      <c r="FC261" s="8"/>
      <c r="FD261" s="8"/>
      <c r="FE261" s="8"/>
      <c r="FF261" s="8"/>
      <c r="FG261" s="8"/>
      <c r="FH261" s="8"/>
      <c r="FI261" s="8"/>
      <c r="FJ261" s="8"/>
      <c r="FK261" s="8"/>
      <c r="FL261" s="8"/>
      <c r="FM261" s="8"/>
      <c r="FN261" s="8"/>
      <c r="FO261" s="8"/>
      <c r="FP261" s="8"/>
      <c r="FQ261" s="8"/>
      <c r="FR261" s="8"/>
      <c r="FS261" s="8"/>
      <c r="FT261" s="8"/>
      <c r="FU261" s="8"/>
      <c r="FV261" s="8"/>
      <c r="FW261" s="8"/>
      <c r="FX261" s="8"/>
      <c r="FY261" s="8"/>
      <c r="FZ261" s="8"/>
      <c r="GA261" s="8"/>
      <c r="GB261" s="8"/>
      <c r="GC261" s="8"/>
      <c r="GD261" s="8"/>
      <c r="GE261" s="8"/>
      <c r="GF261" s="8"/>
      <c r="GG261" s="8"/>
      <c r="GH261" s="8"/>
      <c r="GI261" s="8"/>
      <c r="GJ261" s="8"/>
      <c r="GK261" s="8"/>
      <c r="GL261" s="8"/>
      <c r="GM261" s="8"/>
      <c r="GN261" s="8"/>
      <c r="GO261" s="8"/>
      <c r="GP261" s="8"/>
      <c r="GQ261" s="8"/>
      <c r="GR261" s="8"/>
      <c r="GS261" s="8"/>
      <c r="GT261" s="8"/>
      <c r="GU261" s="8"/>
      <c r="GV261" s="8"/>
      <c r="GW261" s="8"/>
      <c r="GX261" s="8"/>
      <c r="GY261" s="8"/>
      <c r="GZ261" s="8"/>
      <c r="HA261" s="8"/>
      <c r="HB261" s="8"/>
      <c r="HC261" s="8"/>
      <c r="HD261" s="8"/>
      <c r="HE261" s="8"/>
      <c r="HF261" s="8"/>
      <c r="HG261" s="8"/>
      <c r="HH261" s="8"/>
      <c r="HI261" s="8"/>
      <c r="HJ261" s="8"/>
      <c r="HK261" s="8"/>
      <c r="HL261" s="8"/>
      <c r="HM261" s="8"/>
      <c r="HN261" s="8"/>
      <c r="HO261" s="8"/>
      <c r="HP261" s="8"/>
      <c r="HQ261" s="8"/>
      <c r="HR261" s="8"/>
      <c r="HS261" s="8"/>
      <c r="HT261" s="8"/>
      <c r="HU261" s="8"/>
      <c r="HV261" s="8"/>
      <c r="HW261" s="8"/>
      <c r="HX261" s="8"/>
      <c r="HY261" s="8"/>
      <c r="HZ261" s="8"/>
      <c r="IA261" s="8"/>
      <c r="IB261" s="8"/>
      <c r="IC261" s="8"/>
      <c r="ID261" s="8"/>
    </row>
    <row r="262" spans="5:23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c r="DL262" s="8"/>
      <c r="DM262" s="8"/>
      <c r="DN262" s="8"/>
      <c r="DO262" s="8"/>
      <c r="DP262" s="8"/>
      <c r="DQ262" s="8"/>
      <c r="DR262" s="8"/>
      <c r="DS262" s="8"/>
      <c r="DT262" s="8"/>
      <c r="DU262" s="8"/>
      <c r="DV262" s="8"/>
      <c r="DW262" s="8"/>
      <c r="DX262" s="8"/>
      <c r="DY262" s="8"/>
      <c r="DZ262" s="8"/>
      <c r="EA262" s="8"/>
      <c r="EB262" s="8"/>
      <c r="EC262" s="8"/>
      <c r="ED262" s="8"/>
      <c r="EE262" s="8"/>
      <c r="EF262" s="8"/>
      <c r="EG262" s="8"/>
      <c r="EH262" s="8"/>
      <c r="EI262" s="8"/>
      <c r="EJ262" s="8"/>
      <c r="EK262" s="8"/>
      <c r="EL262" s="8"/>
      <c r="EM262" s="8"/>
      <c r="EN262" s="8"/>
      <c r="EO262" s="8"/>
      <c r="EP262" s="8"/>
      <c r="EQ262" s="8"/>
      <c r="ER262" s="8"/>
      <c r="ES262" s="8"/>
      <c r="ET262" s="8"/>
      <c r="EU262" s="8"/>
      <c r="EV262" s="8"/>
      <c r="EW262" s="8"/>
      <c r="EX262" s="8"/>
      <c r="EY262" s="8"/>
      <c r="EZ262" s="8"/>
      <c r="FA262" s="8"/>
      <c r="FB262" s="8"/>
      <c r="FC262" s="8"/>
      <c r="FD262" s="8"/>
      <c r="FE262" s="8"/>
      <c r="FF262" s="8"/>
      <c r="FG262" s="8"/>
      <c r="FH262" s="8"/>
      <c r="FI262" s="8"/>
      <c r="FJ262" s="8"/>
      <c r="FK262" s="8"/>
      <c r="FL262" s="8"/>
      <c r="FM262" s="8"/>
      <c r="FN262" s="8"/>
      <c r="FO262" s="8"/>
      <c r="FP262" s="8"/>
      <c r="FQ262" s="8"/>
      <c r="FR262" s="8"/>
      <c r="FS262" s="8"/>
      <c r="FT262" s="8"/>
      <c r="FU262" s="8"/>
      <c r="FV262" s="8"/>
      <c r="FW262" s="8"/>
      <c r="FX262" s="8"/>
      <c r="FY262" s="8"/>
      <c r="FZ262" s="8"/>
      <c r="GA262" s="8"/>
      <c r="GB262" s="8"/>
      <c r="GC262" s="8"/>
      <c r="GD262" s="8"/>
      <c r="GE262" s="8"/>
      <c r="GF262" s="8"/>
      <c r="GG262" s="8"/>
      <c r="GH262" s="8"/>
      <c r="GI262" s="8"/>
      <c r="GJ262" s="8"/>
      <c r="GK262" s="8"/>
      <c r="GL262" s="8"/>
      <c r="GM262" s="8"/>
      <c r="GN262" s="8"/>
      <c r="GO262" s="8"/>
      <c r="GP262" s="8"/>
      <c r="GQ262" s="8"/>
      <c r="GR262" s="8"/>
      <c r="GS262" s="8"/>
      <c r="GT262" s="8"/>
      <c r="GU262" s="8"/>
      <c r="GV262" s="8"/>
      <c r="GW262" s="8"/>
      <c r="GX262" s="8"/>
      <c r="GY262" s="8"/>
      <c r="GZ262" s="8"/>
      <c r="HA262" s="8"/>
      <c r="HB262" s="8"/>
      <c r="HC262" s="8"/>
      <c r="HD262" s="8"/>
      <c r="HE262" s="8"/>
      <c r="HF262" s="8"/>
      <c r="HG262" s="8"/>
      <c r="HH262" s="8"/>
      <c r="HI262" s="8"/>
      <c r="HJ262" s="8"/>
      <c r="HK262" s="8"/>
      <c r="HL262" s="8"/>
      <c r="HM262" s="8"/>
      <c r="HN262" s="8"/>
      <c r="HO262" s="8"/>
      <c r="HP262" s="8"/>
      <c r="HQ262" s="8"/>
      <c r="HR262" s="8"/>
      <c r="HS262" s="8"/>
      <c r="HT262" s="8"/>
      <c r="HU262" s="8"/>
      <c r="HV262" s="8"/>
      <c r="HW262" s="8"/>
      <c r="HX262" s="8"/>
      <c r="HY262" s="8"/>
      <c r="HZ262" s="8"/>
      <c r="IA262" s="8"/>
      <c r="IB262" s="8"/>
      <c r="IC262" s="8"/>
      <c r="ID262" s="8"/>
    </row>
    <row r="263" spans="5:23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c r="DL263" s="8"/>
      <c r="DM263" s="8"/>
      <c r="DN263" s="8"/>
      <c r="DO263" s="8"/>
      <c r="DP263" s="8"/>
      <c r="DQ263" s="8"/>
      <c r="DR263" s="8"/>
      <c r="DS263" s="8"/>
      <c r="DT263" s="8"/>
      <c r="DU263" s="8"/>
      <c r="DV263" s="8"/>
      <c r="DW263" s="8"/>
      <c r="DX263" s="8"/>
      <c r="DY263" s="8"/>
      <c r="DZ263" s="8"/>
      <c r="EA263" s="8"/>
      <c r="EB263" s="8"/>
      <c r="EC263" s="8"/>
      <c r="ED263" s="8"/>
      <c r="EE263" s="8"/>
      <c r="EF263" s="8"/>
      <c r="EG263" s="8"/>
      <c r="EH263" s="8"/>
      <c r="EI263" s="8"/>
      <c r="EJ263" s="8"/>
      <c r="EK263" s="8"/>
      <c r="EL263" s="8"/>
      <c r="EM263" s="8"/>
      <c r="EN263" s="8"/>
      <c r="EO263" s="8"/>
      <c r="EP263" s="8"/>
      <c r="EQ263" s="8"/>
      <c r="ER263" s="8"/>
      <c r="ES263" s="8"/>
      <c r="ET263" s="8"/>
      <c r="EU263" s="8"/>
      <c r="EV263" s="8"/>
      <c r="EW263" s="8"/>
      <c r="EX263" s="8"/>
      <c r="EY263" s="8"/>
      <c r="EZ263" s="8"/>
      <c r="FA263" s="8"/>
      <c r="FB263" s="8"/>
      <c r="FC263" s="8"/>
      <c r="FD263" s="8"/>
      <c r="FE263" s="8"/>
      <c r="FF263" s="8"/>
      <c r="FG263" s="8"/>
      <c r="FH263" s="8"/>
      <c r="FI263" s="8"/>
      <c r="FJ263" s="8"/>
      <c r="FK263" s="8"/>
      <c r="FL263" s="8"/>
      <c r="FM263" s="8"/>
      <c r="FN263" s="8"/>
      <c r="FO263" s="8"/>
      <c r="FP263" s="8"/>
      <c r="FQ263" s="8"/>
      <c r="FR263" s="8"/>
      <c r="FS263" s="8"/>
      <c r="FT263" s="8"/>
      <c r="FU263" s="8"/>
      <c r="FV263" s="8"/>
      <c r="FW263" s="8"/>
      <c r="FX263" s="8"/>
      <c r="FY263" s="8"/>
      <c r="FZ263" s="8"/>
      <c r="GA263" s="8"/>
      <c r="GB263" s="8"/>
      <c r="GC263" s="8"/>
      <c r="GD263" s="8"/>
      <c r="GE263" s="8"/>
      <c r="GF263" s="8"/>
      <c r="GG263" s="8"/>
      <c r="GH263" s="8"/>
      <c r="GI263" s="8"/>
      <c r="GJ263" s="8"/>
      <c r="GK263" s="8"/>
      <c r="GL263" s="8"/>
      <c r="GM263" s="8"/>
      <c r="GN263" s="8"/>
      <c r="GO263" s="8"/>
      <c r="GP263" s="8"/>
      <c r="GQ263" s="8"/>
      <c r="GR263" s="8"/>
      <c r="GS263" s="8"/>
      <c r="GT263" s="8"/>
      <c r="GU263" s="8"/>
      <c r="GV263" s="8"/>
      <c r="GW263" s="8"/>
      <c r="GX263" s="8"/>
      <c r="GY263" s="8"/>
      <c r="GZ263" s="8"/>
      <c r="HA263" s="8"/>
      <c r="HB263" s="8"/>
      <c r="HC263" s="8"/>
      <c r="HD263" s="8"/>
      <c r="HE263" s="8"/>
      <c r="HF263" s="8"/>
      <c r="HG263" s="8"/>
      <c r="HH263" s="8"/>
      <c r="HI263" s="8"/>
      <c r="HJ263" s="8"/>
      <c r="HK263" s="8"/>
      <c r="HL263" s="8"/>
      <c r="HM263" s="8"/>
      <c r="HN263" s="8"/>
      <c r="HO263" s="8"/>
      <c r="HP263" s="8"/>
      <c r="HQ263" s="8"/>
      <c r="HR263" s="8"/>
      <c r="HS263" s="8"/>
      <c r="HT263" s="8"/>
      <c r="HU263" s="8"/>
      <c r="HV263" s="8"/>
      <c r="HW263" s="8"/>
      <c r="HX263" s="8"/>
      <c r="HY263" s="8"/>
      <c r="HZ263" s="8"/>
      <c r="IA263" s="8"/>
      <c r="IB263" s="8"/>
      <c r="IC263" s="8"/>
      <c r="ID263" s="8"/>
    </row>
    <row r="264" spans="5:23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c r="DL264" s="8"/>
      <c r="DM264" s="8"/>
      <c r="DN264" s="8"/>
      <c r="DO264" s="8"/>
      <c r="DP264" s="8"/>
      <c r="DQ264" s="8"/>
      <c r="DR264" s="8"/>
      <c r="DS264" s="8"/>
      <c r="DT264" s="8"/>
      <c r="DU264" s="8"/>
      <c r="DV264" s="8"/>
      <c r="DW264" s="8"/>
      <c r="DX264" s="8"/>
      <c r="DY264" s="8"/>
      <c r="DZ264" s="8"/>
      <c r="EA264" s="8"/>
      <c r="EB264" s="8"/>
      <c r="EC264" s="8"/>
      <c r="ED264" s="8"/>
      <c r="EE264" s="8"/>
      <c r="EF264" s="8"/>
      <c r="EG264" s="8"/>
      <c r="EH264" s="8"/>
      <c r="EI264" s="8"/>
      <c r="EJ264" s="8"/>
      <c r="EK264" s="8"/>
      <c r="EL264" s="8"/>
      <c r="EM264" s="8"/>
      <c r="EN264" s="8"/>
      <c r="EO264" s="8"/>
      <c r="EP264" s="8"/>
      <c r="EQ264" s="8"/>
      <c r="ER264" s="8"/>
      <c r="ES264" s="8"/>
      <c r="ET264" s="8"/>
      <c r="EU264" s="8"/>
      <c r="EV264" s="8"/>
      <c r="EW264" s="8"/>
      <c r="EX264" s="8"/>
      <c r="EY264" s="8"/>
      <c r="EZ264" s="8"/>
      <c r="FA264" s="8"/>
      <c r="FB264" s="8"/>
      <c r="FC264" s="8"/>
      <c r="FD264" s="8"/>
      <c r="FE264" s="8"/>
      <c r="FF264" s="8"/>
      <c r="FG264" s="8"/>
      <c r="FH264" s="8"/>
      <c r="FI264" s="8"/>
      <c r="FJ264" s="8"/>
      <c r="FK264" s="8"/>
      <c r="FL264" s="8"/>
      <c r="FM264" s="8"/>
      <c r="FN264" s="8"/>
      <c r="FO264" s="8"/>
      <c r="FP264" s="8"/>
      <c r="FQ264" s="8"/>
      <c r="FR264" s="8"/>
      <c r="FS264" s="8"/>
      <c r="FT264" s="8"/>
      <c r="FU264" s="8"/>
      <c r="FV264" s="8"/>
      <c r="FW264" s="8"/>
      <c r="FX264" s="8"/>
      <c r="FY264" s="8"/>
      <c r="FZ264" s="8"/>
      <c r="GA264" s="8"/>
      <c r="GB264" s="8"/>
      <c r="GC264" s="8"/>
      <c r="GD264" s="8"/>
      <c r="GE264" s="8"/>
      <c r="GF264" s="8"/>
      <c r="GG264" s="8"/>
      <c r="GH264" s="8"/>
      <c r="GI264" s="8"/>
      <c r="GJ264" s="8"/>
      <c r="GK264" s="8"/>
      <c r="GL264" s="8"/>
      <c r="GM264" s="8"/>
      <c r="GN264" s="8"/>
      <c r="GO264" s="8"/>
      <c r="GP264" s="8"/>
      <c r="GQ264" s="8"/>
      <c r="GR264" s="8"/>
      <c r="GS264" s="8"/>
      <c r="GT264" s="8"/>
      <c r="GU264" s="8"/>
      <c r="GV264" s="8"/>
      <c r="GW264" s="8"/>
      <c r="GX264" s="8"/>
      <c r="GY264" s="8"/>
      <c r="GZ264" s="8"/>
      <c r="HA264" s="8"/>
      <c r="HB264" s="8"/>
      <c r="HC264" s="8"/>
      <c r="HD264" s="8"/>
      <c r="HE264" s="8"/>
      <c r="HF264" s="8"/>
      <c r="HG264" s="8"/>
      <c r="HH264" s="8"/>
      <c r="HI264" s="8"/>
      <c r="HJ264" s="8"/>
      <c r="HK264" s="8"/>
      <c r="HL264" s="8"/>
      <c r="HM264" s="8"/>
      <c r="HN264" s="8"/>
      <c r="HO264" s="8"/>
      <c r="HP264" s="8"/>
      <c r="HQ264" s="8"/>
      <c r="HR264" s="8"/>
      <c r="HS264" s="8"/>
      <c r="HT264" s="8"/>
      <c r="HU264" s="8"/>
      <c r="HV264" s="8"/>
      <c r="HW264" s="8"/>
      <c r="HX264" s="8"/>
      <c r="HY264" s="8"/>
      <c r="HZ264" s="8"/>
      <c r="IA264" s="8"/>
      <c r="IB264" s="8"/>
      <c r="IC264" s="8"/>
      <c r="ID264" s="8"/>
    </row>
    <row r="265" spans="5:23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c r="DM265" s="8"/>
      <c r="DN265" s="8"/>
      <c r="DO265" s="8"/>
      <c r="DP265" s="8"/>
      <c r="DQ265" s="8"/>
      <c r="DR265" s="8"/>
      <c r="DS265" s="8"/>
      <c r="DT265" s="8"/>
      <c r="DU265" s="8"/>
      <c r="DV265" s="8"/>
      <c r="DW265" s="8"/>
      <c r="DX265" s="8"/>
      <c r="DY265" s="8"/>
      <c r="DZ265" s="8"/>
      <c r="EA265" s="8"/>
      <c r="EB265" s="8"/>
      <c r="EC265" s="8"/>
      <c r="ED265" s="8"/>
      <c r="EE265" s="8"/>
      <c r="EF265" s="8"/>
      <c r="EG265" s="8"/>
      <c r="EH265" s="8"/>
      <c r="EI265" s="8"/>
      <c r="EJ265" s="8"/>
      <c r="EK265" s="8"/>
      <c r="EL265" s="8"/>
      <c r="EM265" s="8"/>
      <c r="EN265" s="8"/>
      <c r="EO265" s="8"/>
      <c r="EP265" s="8"/>
      <c r="EQ265" s="8"/>
      <c r="ER265" s="8"/>
      <c r="ES265" s="8"/>
      <c r="ET265" s="8"/>
      <c r="EU265" s="8"/>
      <c r="EV265" s="8"/>
      <c r="EW265" s="8"/>
      <c r="EX265" s="8"/>
      <c r="EY265" s="8"/>
      <c r="EZ265" s="8"/>
      <c r="FA265" s="8"/>
      <c r="FB265" s="8"/>
      <c r="FC265" s="8"/>
      <c r="FD265" s="8"/>
      <c r="FE265" s="8"/>
      <c r="FF265" s="8"/>
      <c r="FG265" s="8"/>
      <c r="FH265" s="8"/>
      <c r="FI265" s="8"/>
      <c r="FJ265" s="8"/>
      <c r="FK265" s="8"/>
      <c r="FL265" s="8"/>
      <c r="FM265" s="8"/>
      <c r="FN265" s="8"/>
      <c r="FO265" s="8"/>
      <c r="FP265" s="8"/>
      <c r="FQ265" s="8"/>
      <c r="FR265" s="8"/>
      <c r="FS265" s="8"/>
      <c r="FT265" s="8"/>
      <c r="FU265" s="8"/>
      <c r="FV265" s="8"/>
      <c r="FW265" s="8"/>
      <c r="FX265" s="8"/>
      <c r="FY265" s="8"/>
      <c r="FZ265" s="8"/>
      <c r="GA265" s="8"/>
      <c r="GB265" s="8"/>
      <c r="GC265" s="8"/>
      <c r="GD265" s="8"/>
      <c r="GE265" s="8"/>
      <c r="GF265" s="8"/>
      <c r="GG265" s="8"/>
      <c r="GH265" s="8"/>
      <c r="GI265" s="8"/>
      <c r="GJ265" s="8"/>
      <c r="GK265" s="8"/>
      <c r="GL265" s="8"/>
      <c r="GM265" s="8"/>
      <c r="GN265" s="8"/>
      <c r="GO265" s="8"/>
      <c r="GP265" s="8"/>
      <c r="GQ265" s="8"/>
      <c r="GR265" s="8"/>
      <c r="GS265" s="8"/>
      <c r="GT265" s="8"/>
      <c r="GU265" s="8"/>
      <c r="GV265" s="8"/>
      <c r="GW265" s="8"/>
      <c r="GX265" s="8"/>
      <c r="GY265" s="8"/>
      <c r="GZ265" s="8"/>
      <c r="HA265" s="8"/>
      <c r="HB265" s="8"/>
      <c r="HC265" s="8"/>
      <c r="HD265" s="8"/>
      <c r="HE265" s="8"/>
      <c r="HF265" s="8"/>
      <c r="HG265" s="8"/>
      <c r="HH265" s="8"/>
      <c r="HI265" s="8"/>
      <c r="HJ265" s="8"/>
      <c r="HK265" s="8"/>
      <c r="HL265" s="8"/>
      <c r="HM265" s="8"/>
      <c r="HN265" s="8"/>
      <c r="HO265" s="8"/>
      <c r="HP265" s="8"/>
      <c r="HQ265" s="8"/>
      <c r="HR265" s="8"/>
      <c r="HS265" s="8"/>
      <c r="HT265" s="8"/>
      <c r="HU265" s="8"/>
      <c r="HV265" s="8"/>
      <c r="HW265" s="8"/>
      <c r="HX265" s="8"/>
      <c r="HY265" s="8"/>
      <c r="HZ265" s="8"/>
      <c r="IA265" s="8"/>
      <c r="IB265" s="8"/>
      <c r="IC265" s="8"/>
      <c r="ID265" s="8"/>
    </row>
    <row r="266" spans="5:23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c r="DM266" s="8"/>
      <c r="DN266" s="8"/>
      <c r="DO266" s="8"/>
      <c r="DP266" s="8"/>
      <c r="DQ266" s="8"/>
      <c r="DR266" s="8"/>
      <c r="DS266" s="8"/>
      <c r="DT266" s="8"/>
      <c r="DU266" s="8"/>
      <c r="DV266" s="8"/>
      <c r="DW266" s="8"/>
      <c r="DX266" s="8"/>
      <c r="DY266" s="8"/>
      <c r="DZ266" s="8"/>
      <c r="EA266" s="8"/>
      <c r="EB266" s="8"/>
      <c r="EC266" s="8"/>
      <c r="ED266" s="8"/>
      <c r="EE266" s="8"/>
      <c r="EF266" s="8"/>
      <c r="EG266" s="8"/>
      <c r="EH266" s="8"/>
      <c r="EI266" s="8"/>
      <c r="EJ266" s="8"/>
      <c r="EK266" s="8"/>
      <c r="EL266" s="8"/>
      <c r="EM266" s="8"/>
      <c r="EN266" s="8"/>
      <c r="EO266" s="8"/>
      <c r="EP266" s="8"/>
      <c r="EQ266" s="8"/>
      <c r="ER266" s="8"/>
      <c r="ES266" s="8"/>
      <c r="ET266" s="8"/>
      <c r="EU266" s="8"/>
      <c r="EV266" s="8"/>
      <c r="EW266" s="8"/>
      <c r="EX266" s="8"/>
      <c r="EY266" s="8"/>
      <c r="EZ266" s="8"/>
      <c r="FA266" s="8"/>
      <c r="FB266" s="8"/>
      <c r="FC266" s="8"/>
      <c r="FD266" s="8"/>
      <c r="FE266" s="8"/>
      <c r="FF266" s="8"/>
      <c r="FG266" s="8"/>
      <c r="FH266" s="8"/>
      <c r="FI266" s="8"/>
      <c r="FJ266" s="8"/>
      <c r="FK266" s="8"/>
      <c r="FL266" s="8"/>
      <c r="FM266" s="8"/>
      <c r="FN266" s="8"/>
      <c r="FO266" s="8"/>
      <c r="FP266" s="8"/>
      <c r="FQ266" s="8"/>
      <c r="FR266" s="8"/>
      <c r="FS266" s="8"/>
      <c r="FT266" s="8"/>
      <c r="FU266" s="8"/>
      <c r="FV266" s="8"/>
      <c r="FW266" s="8"/>
      <c r="FX266" s="8"/>
      <c r="FY266" s="8"/>
      <c r="FZ266" s="8"/>
      <c r="GA266" s="8"/>
      <c r="GB266" s="8"/>
      <c r="GC266" s="8"/>
      <c r="GD266" s="8"/>
      <c r="GE266" s="8"/>
      <c r="GF266" s="8"/>
      <c r="GG266" s="8"/>
      <c r="GH266" s="8"/>
      <c r="GI266" s="8"/>
      <c r="GJ266" s="8"/>
      <c r="GK266" s="8"/>
      <c r="GL266" s="8"/>
      <c r="GM266" s="8"/>
      <c r="GN266" s="8"/>
      <c r="GO266" s="8"/>
      <c r="GP266" s="8"/>
      <c r="GQ266" s="8"/>
      <c r="GR266" s="8"/>
      <c r="GS266" s="8"/>
      <c r="GT266" s="8"/>
      <c r="GU266" s="8"/>
      <c r="GV266" s="8"/>
      <c r="GW266" s="8"/>
      <c r="GX266" s="8"/>
      <c r="GY266" s="8"/>
      <c r="GZ266" s="8"/>
      <c r="HA266" s="8"/>
      <c r="HB266" s="8"/>
      <c r="HC266" s="8"/>
      <c r="HD266" s="8"/>
      <c r="HE266" s="8"/>
      <c r="HF266" s="8"/>
      <c r="HG266" s="8"/>
      <c r="HH266" s="8"/>
      <c r="HI266" s="8"/>
      <c r="HJ266" s="8"/>
      <c r="HK266" s="8"/>
      <c r="HL266" s="8"/>
      <c r="HM266" s="8"/>
      <c r="HN266" s="8"/>
      <c r="HO266" s="8"/>
      <c r="HP266" s="8"/>
      <c r="HQ266" s="8"/>
      <c r="HR266" s="8"/>
      <c r="HS266" s="8"/>
      <c r="HT266" s="8"/>
      <c r="HU266" s="8"/>
      <c r="HV266" s="8"/>
      <c r="HW266" s="8"/>
      <c r="HX266" s="8"/>
      <c r="HY266" s="8"/>
      <c r="HZ266" s="8"/>
      <c r="IA266" s="8"/>
      <c r="IB266" s="8"/>
      <c r="IC266" s="8"/>
      <c r="ID266" s="8"/>
    </row>
    <row r="267" spans="5:23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c r="DM267" s="8"/>
      <c r="DN267" s="8"/>
      <c r="DO267" s="8"/>
      <c r="DP267" s="8"/>
      <c r="DQ267" s="8"/>
      <c r="DR267" s="8"/>
      <c r="DS267" s="8"/>
      <c r="DT267" s="8"/>
      <c r="DU267" s="8"/>
      <c r="DV267" s="8"/>
      <c r="DW267" s="8"/>
      <c r="DX267" s="8"/>
      <c r="DY267" s="8"/>
      <c r="DZ267" s="8"/>
      <c r="EA267" s="8"/>
      <c r="EB267" s="8"/>
      <c r="EC267" s="8"/>
      <c r="ED267" s="8"/>
      <c r="EE267" s="8"/>
      <c r="EF267" s="8"/>
      <c r="EG267" s="8"/>
      <c r="EH267" s="8"/>
      <c r="EI267" s="8"/>
      <c r="EJ267" s="8"/>
      <c r="EK267" s="8"/>
      <c r="EL267" s="8"/>
      <c r="EM267" s="8"/>
      <c r="EN267" s="8"/>
      <c r="EO267" s="8"/>
      <c r="EP267" s="8"/>
      <c r="EQ267" s="8"/>
      <c r="ER267" s="8"/>
      <c r="ES267" s="8"/>
      <c r="ET267" s="8"/>
      <c r="EU267" s="8"/>
      <c r="EV267" s="8"/>
      <c r="EW267" s="8"/>
      <c r="EX267" s="8"/>
      <c r="EY267" s="8"/>
      <c r="EZ267" s="8"/>
      <c r="FA267" s="8"/>
      <c r="FB267" s="8"/>
      <c r="FC267" s="8"/>
      <c r="FD267" s="8"/>
      <c r="FE267" s="8"/>
      <c r="FF267" s="8"/>
      <c r="FG267" s="8"/>
      <c r="FH267" s="8"/>
      <c r="FI267" s="8"/>
      <c r="FJ267" s="8"/>
      <c r="FK267" s="8"/>
      <c r="FL267" s="8"/>
      <c r="FM267" s="8"/>
      <c r="FN267" s="8"/>
      <c r="FO267" s="8"/>
      <c r="FP267" s="8"/>
      <c r="FQ267" s="8"/>
      <c r="FR267" s="8"/>
      <c r="FS267" s="8"/>
      <c r="FT267" s="8"/>
      <c r="FU267" s="8"/>
      <c r="FV267" s="8"/>
      <c r="FW267" s="8"/>
      <c r="FX267" s="8"/>
      <c r="FY267" s="8"/>
      <c r="FZ267" s="8"/>
      <c r="GA267" s="8"/>
      <c r="GB267" s="8"/>
      <c r="GC267" s="8"/>
      <c r="GD267" s="8"/>
      <c r="GE267" s="8"/>
      <c r="GF267" s="8"/>
      <c r="GG267" s="8"/>
      <c r="GH267" s="8"/>
      <c r="GI267" s="8"/>
      <c r="GJ267" s="8"/>
      <c r="GK267" s="8"/>
      <c r="GL267" s="8"/>
      <c r="GM267" s="8"/>
      <c r="GN267" s="8"/>
      <c r="GO267" s="8"/>
      <c r="GP267" s="8"/>
      <c r="GQ267" s="8"/>
      <c r="GR267" s="8"/>
      <c r="GS267" s="8"/>
      <c r="GT267" s="8"/>
      <c r="GU267" s="8"/>
      <c r="GV267" s="8"/>
      <c r="GW267" s="8"/>
      <c r="GX267" s="8"/>
      <c r="GY267" s="8"/>
      <c r="GZ267" s="8"/>
      <c r="HA267" s="8"/>
      <c r="HB267" s="8"/>
      <c r="HC267" s="8"/>
      <c r="HD267" s="8"/>
      <c r="HE267" s="8"/>
      <c r="HF267" s="8"/>
      <c r="HG267" s="8"/>
      <c r="HH267" s="8"/>
      <c r="HI267" s="8"/>
      <c r="HJ267" s="8"/>
      <c r="HK267" s="8"/>
      <c r="HL267" s="8"/>
      <c r="HM267" s="8"/>
      <c r="HN267" s="8"/>
      <c r="HO267" s="8"/>
      <c r="HP267" s="8"/>
      <c r="HQ267" s="8"/>
      <c r="HR267" s="8"/>
      <c r="HS267" s="8"/>
      <c r="HT267" s="8"/>
      <c r="HU267" s="8"/>
      <c r="HV267" s="8"/>
      <c r="HW267" s="8"/>
      <c r="HX267" s="8"/>
      <c r="HY267" s="8"/>
      <c r="HZ267" s="8"/>
      <c r="IA267" s="8"/>
      <c r="IB267" s="8"/>
      <c r="IC267" s="8"/>
      <c r="ID267" s="8"/>
    </row>
    <row r="268" spans="5:23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c r="DQ268" s="8"/>
      <c r="DR268" s="8"/>
      <c r="DS268" s="8"/>
      <c r="DT268" s="8"/>
      <c r="DU268" s="8"/>
      <c r="DV268" s="8"/>
      <c r="DW268" s="8"/>
      <c r="DX268" s="8"/>
      <c r="DY268" s="8"/>
      <c r="DZ268" s="8"/>
      <c r="EA268" s="8"/>
      <c r="EB268" s="8"/>
      <c r="EC268" s="8"/>
      <c r="ED268" s="8"/>
      <c r="EE268" s="8"/>
      <c r="EF268" s="8"/>
      <c r="EG268" s="8"/>
      <c r="EH268" s="8"/>
      <c r="EI268" s="8"/>
      <c r="EJ268" s="8"/>
      <c r="EK268" s="8"/>
      <c r="EL268" s="8"/>
      <c r="EM268" s="8"/>
      <c r="EN268" s="8"/>
      <c r="EO268" s="8"/>
      <c r="EP268" s="8"/>
      <c r="EQ268" s="8"/>
      <c r="ER268" s="8"/>
      <c r="ES268" s="8"/>
      <c r="ET268" s="8"/>
      <c r="EU268" s="8"/>
      <c r="EV268" s="8"/>
      <c r="EW268" s="8"/>
      <c r="EX268" s="8"/>
      <c r="EY268" s="8"/>
      <c r="EZ268" s="8"/>
      <c r="FA268" s="8"/>
      <c r="FB268" s="8"/>
      <c r="FC268" s="8"/>
      <c r="FD268" s="8"/>
      <c r="FE268" s="8"/>
      <c r="FF268" s="8"/>
      <c r="FG268" s="8"/>
      <c r="FH268" s="8"/>
      <c r="FI268" s="8"/>
      <c r="FJ268" s="8"/>
      <c r="FK268" s="8"/>
      <c r="FL268" s="8"/>
      <c r="FM268" s="8"/>
      <c r="FN268" s="8"/>
      <c r="FO268" s="8"/>
      <c r="FP268" s="8"/>
      <c r="FQ268" s="8"/>
      <c r="FR268" s="8"/>
      <c r="FS268" s="8"/>
      <c r="FT268" s="8"/>
      <c r="FU268" s="8"/>
      <c r="FV268" s="8"/>
      <c r="FW268" s="8"/>
      <c r="FX268" s="8"/>
      <c r="FY268" s="8"/>
      <c r="FZ268" s="8"/>
      <c r="GA268" s="8"/>
      <c r="GB268" s="8"/>
      <c r="GC268" s="8"/>
      <c r="GD268" s="8"/>
      <c r="GE268" s="8"/>
      <c r="GF268" s="8"/>
      <c r="GG268" s="8"/>
      <c r="GH268" s="8"/>
      <c r="GI268" s="8"/>
      <c r="GJ268" s="8"/>
      <c r="GK268" s="8"/>
      <c r="GL268" s="8"/>
      <c r="GM268" s="8"/>
      <c r="GN268" s="8"/>
      <c r="GO268" s="8"/>
      <c r="GP268" s="8"/>
      <c r="GQ268" s="8"/>
      <c r="GR268" s="8"/>
      <c r="GS268" s="8"/>
      <c r="GT268" s="8"/>
      <c r="GU268" s="8"/>
      <c r="GV268" s="8"/>
      <c r="GW268" s="8"/>
      <c r="GX268" s="8"/>
      <c r="GY268" s="8"/>
      <c r="GZ268" s="8"/>
      <c r="HA268" s="8"/>
      <c r="HB268" s="8"/>
      <c r="HC268" s="8"/>
      <c r="HD268" s="8"/>
      <c r="HE268" s="8"/>
      <c r="HF268" s="8"/>
      <c r="HG268" s="8"/>
      <c r="HH268" s="8"/>
      <c r="HI268" s="8"/>
      <c r="HJ268" s="8"/>
      <c r="HK268" s="8"/>
      <c r="HL268" s="8"/>
      <c r="HM268" s="8"/>
      <c r="HN268" s="8"/>
      <c r="HO268" s="8"/>
      <c r="HP268" s="8"/>
      <c r="HQ268" s="8"/>
      <c r="HR268" s="8"/>
      <c r="HS268" s="8"/>
      <c r="HT268" s="8"/>
      <c r="HU268" s="8"/>
      <c r="HV268" s="8"/>
      <c r="HW268" s="8"/>
      <c r="HX268" s="8"/>
      <c r="HY268" s="8"/>
      <c r="HZ268" s="8"/>
      <c r="IA268" s="8"/>
      <c r="IB268" s="8"/>
      <c r="IC268" s="8"/>
      <c r="ID268" s="8"/>
    </row>
    <row r="269" spans="5:23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c r="DM269" s="8"/>
      <c r="DN269" s="8"/>
      <c r="DO269" s="8"/>
      <c r="DP269" s="8"/>
      <c r="DQ269" s="8"/>
      <c r="DR269" s="8"/>
      <c r="DS269" s="8"/>
      <c r="DT269" s="8"/>
      <c r="DU269" s="8"/>
      <c r="DV269" s="8"/>
      <c r="DW269" s="8"/>
      <c r="DX269" s="8"/>
      <c r="DY269" s="8"/>
      <c r="DZ269" s="8"/>
      <c r="EA269" s="8"/>
      <c r="EB269" s="8"/>
      <c r="EC269" s="8"/>
      <c r="ED269" s="8"/>
      <c r="EE269" s="8"/>
      <c r="EF269" s="8"/>
      <c r="EG269" s="8"/>
      <c r="EH269" s="8"/>
      <c r="EI269" s="8"/>
      <c r="EJ269" s="8"/>
      <c r="EK269" s="8"/>
      <c r="EL269" s="8"/>
      <c r="EM269" s="8"/>
      <c r="EN269" s="8"/>
      <c r="EO269" s="8"/>
      <c r="EP269" s="8"/>
      <c r="EQ269" s="8"/>
      <c r="ER269" s="8"/>
      <c r="ES269" s="8"/>
      <c r="ET269" s="8"/>
      <c r="EU269" s="8"/>
      <c r="EV269" s="8"/>
      <c r="EW269" s="8"/>
      <c r="EX269" s="8"/>
      <c r="EY269" s="8"/>
      <c r="EZ269" s="8"/>
      <c r="FA269" s="8"/>
      <c r="FB269" s="8"/>
      <c r="FC269" s="8"/>
      <c r="FD269" s="8"/>
      <c r="FE269" s="8"/>
      <c r="FF269" s="8"/>
      <c r="FG269" s="8"/>
      <c r="FH269" s="8"/>
      <c r="FI269" s="8"/>
      <c r="FJ269" s="8"/>
      <c r="FK269" s="8"/>
      <c r="FL269" s="8"/>
      <c r="FM269" s="8"/>
      <c r="FN269" s="8"/>
      <c r="FO269" s="8"/>
      <c r="FP269" s="8"/>
      <c r="FQ269" s="8"/>
      <c r="FR269" s="8"/>
      <c r="FS269" s="8"/>
      <c r="FT269" s="8"/>
      <c r="FU269" s="8"/>
      <c r="FV269" s="8"/>
      <c r="FW269" s="8"/>
      <c r="FX269" s="8"/>
      <c r="FY269" s="8"/>
      <c r="FZ269" s="8"/>
      <c r="GA269" s="8"/>
      <c r="GB269" s="8"/>
      <c r="GC269" s="8"/>
      <c r="GD269" s="8"/>
      <c r="GE269" s="8"/>
      <c r="GF269" s="8"/>
      <c r="GG269" s="8"/>
      <c r="GH269" s="8"/>
      <c r="GI269" s="8"/>
      <c r="GJ269" s="8"/>
      <c r="GK269" s="8"/>
      <c r="GL269" s="8"/>
      <c r="GM269" s="8"/>
      <c r="GN269" s="8"/>
      <c r="GO269" s="8"/>
      <c r="GP269" s="8"/>
      <c r="GQ269" s="8"/>
      <c r="GR269" s="8"/>
      <c r="GS269" s="8"/>
      <c r="GT269" s="8"/>
      <c r="GU269" s="8"/>
      <c r="GV269" s="8"/>
      <c r="GW269" s="8"/>
      <c r="GX269" s="8"/>
      <c r="GY269" s="8"/>
      <c r="GZ269" s="8"/>
      <c r="HA269" s="8"/>
      <c r="HB269" s="8"/>
      <c r="HC269" s="8"/>
      <c r="HD269" s="8"/>
      <c r="HE269" s="8"/>
      <c r="HF269" s="8"/>
      <c r="HG269" s="8"/>
      <c r="HH269" s="8"/>
      <c r="HI269" s="8"/>
      <c r="HJ269" s="8"/>
      <c r="HK269" s="8"/>
      <c r="HL269" s="8"/>
      <c r="HM269" s="8"/>
      <c r="HN269" s="8"/>
      <c r="HO269" s="8"/>
      <c r="HP269" s="8"/>
      <c r="HQ269" s="8"/>
      <c r="HR269" s="8"/>
      <c r="HS269" s="8"/>
      <c r="HT269" s="8"/>
      <c r="HU269" s="8"/>
      <c r="HV269" s="8"/>
      <c r="HW269" s="8"/>
      <c r="HX269" s="8"/>
      <c r="HY269" s="8"/>
      <c r="HZ269" s="8"/>
      <c r="IA269" s="8"/>
      <c r="IB269" s="8"/>
      <c r="IC269" s="8"/>
      <c r="ID269" s="8"/>
    </row>
    <row r="270" spans="5:23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c r="DX270" s="8"/>
      <c r="DY270" s="8"/>
      <c r="DZ270" s="8"/>
      <c r="EA270" s="8"/>
      <c r="EB270" s="8"/>
      <c r="EC270" s="8"/>
      <c r="ED270" s="8"/>
      <c r="EE270" s="8"/>
      <c r="EF270" s="8"/>
      <c r="EG270" s="8"/>
      <c r="EH270" s="8"/>
      <c r="EI270" s="8"/>
      <c r="EJ270" s="8"/>
      <c r="EK270" s="8"/>
      <c r="EL270" s="8"/>
      <c r="EM270" s="8"/>
      <c r="EN270" s="8"/>
      <c r="EO270" s="8"/>
      <c r="EP270" s="8"/>
      <c r="EQ270" s="8"/>
      <c r="ER270" s="8"/>
      <c r="ES270" s="8"/>
      <c r="ET270" s="8"/>
      <c r="EU270" s="8"/>
      <c r="EV270" s="8"/>
      <c r="EW270" s="8"/>
      <c r="EX270" s="8"/>
      <c r="EY270" s="8"/>
      <c r="EZ270" s="8"/>
      <c r="FA270" s="8"/>
      <c r="FB270" s="8"/>
      <c r="FC270" s="8"/>
      <c r="FD270" s="8"/>
      <c r="FE270" s="8"/>
      <c r="FF270" s="8"/>
      <c r="FG270" s="8"/>
      <c r="FH270" s="8"/>
      <c r="FI270" s="8"/>
      <c r="FJ270" s="8"/>
      <c r="FK270" s="8"/>
      <c r="FL270" s="8"/>
      <c r="FM270" s="8"/>
      <c r="FN270" s="8"/>
      <c r="FO270" s="8"/>
      <c r="FP270" s="8"/>
      <c r="FQ270" s="8"/>
      <c r="FR270" s="8"/>
      <c r="FS270" s="8"/>
      <c r="FT270" s="8"/>
      <c r="FU270" s="8"/>
      <c r="FV270" s="8"/>
      <c r="FW270" s="8"/>
      <c r="FX270" s="8"/>
      <c r="FY270" s="8"/>
      <c r="FZ270" s="8"/>
      <c r="GA270" s="8"/>
      <c r="GB270" s="8"/>
      <c r="GC270" s="8"/>
      <c r="GD270" s="8"/>
      <c r="GE270" s="8"/>
      <c r="GF270" s="8"/>
      <c r="GG270" s="8"/>
      <c r="GH270" s="8"/>
      <c r="GI270" s="8"/>
      <c r="GJ270" s="8"/>
      <c r="GK270" s="8"/>
      <c r="GL270" s="8"/>
      <c r="GM270" s="8"/>
      <c r="GN270" s="8"/>
      <c r="GO270" s="8"/>
      <c r="GP270" s="8"/>
      <c r="GQ270" s="8"/>
      <c r="GR270" s="8"/>
      <c r="GS270" s="8"/>
      <c r="GT270" s="8"/>
      <c r="GU270" s="8"/>
      <c r="GV270" s="8"/>
      <c r="GW270" s="8"/>
      <c r="GX270" s="8"/>
      <c r="GY270" s="8"/>
      <c r="GZ270" s="8"/>
      <c r="HA270" s="8"/>
      <c r="HB270" s="8"/>
      <c r="HC270" s="8"/>
      <c r="HD270" s="8"/>
      <c r="HE270" s="8"/>
      <c r="HF270" s="8"/>
      <c r="HG270" s="8"/>
      <c r="HH270" s="8"/>
      <c r="HI270" s="8"/>
      <c r="HJ270" s="8"/>
      <c r="HK270" s="8"/>
      <c r="HL270" s="8"/>
      <c r="HM270" s="8"/>
      <c r="HN270" s="8"/>
      <c r="HO270" s="8"/>
      <c r="HP270" s="8"/>
      <c r="HQ270" s="8"/>
      <c r="HR270" s="8"/>
      <c r="HS270" s="8"/>
      <c r="HT270" s="8"/>
      <c r="HU270" s="8"/>
      <c r="HV270" s="8"/>
      <c r="HW270" s="8"/>
      <c r="HX270" s="8"/>
      <c r="HY270" s="8"/>
      <c r="HZ270" s="8"/>
      <c r="IA270" s="8"/>
      <c r="IB270" s="8"/>
      <c r="IC270" s="8"/>
      <c r="ID270" s="8"/>
    </row>
    <row r="271" spans="5:23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c r="DQ271" s="8"/>
      <c r="DR271" s="8"/>
      <c r="DS271" s="8"/>
      <c r="DT271" s="8"/>
      <c r="DU271" s="8"/>
      <c r="DV271" s="8"/>
      <c r="DW271" s="8"/>
      <c r="DX271" s="8"/>
      <c r="DY271" s="8"/>
      <c r="DZ271" s="8"/>
      <c r="EA271" s="8"/>
      <c r="EB271" s="8"/>
      <c r="EC271" s="8"/>
      <c r="ED271" s="8"/>
      <c r="EE271" s="8"/>
      <c r="EF271" s="8"/>
      <c r="EG271" s="8"/>
      <c r="EH271" s="8"/>
      <c r="EI271" s="8"/>
      <c r="EJ271" s="8"/>
      <c r="EK271" s="8"/>
      <c r="EL271" s="8"/>
      <c r="EM271" s="8"/>
      <c r="EN271" s="8"/>
      <c r="EO271" s="8"/>
      <c r="EP271" s="8"/>
      <c r="EQ271" s="8"/>
      <c r="ER271" s="8"/>
      <c r="ES271" s="8"/>
      <c r="ET271" s="8"/>
      <c r="EU271" s="8"/>
      <c r="EV271" s="8"/>
      <c r="EW271" s="8"/>
      <c r="EX271" s="8"/>
      <c r="EY271" s="8"/>
      <c r="EZ271" s="8"/>
      <c r="FA271" s="8"/>
      <c r="FB271" s="8"/>
      <c r="FC271" s="8"/>
      <c r="FD271" s="8"/>
      <c r="FE271" s="8"/>
      <c r="FF271" s="8"/>
      <c r="FG271" s="8"/>
      <c r="FH271" s="8"/>
      <c r="FI271" s="8"/>
      <c r="FJ271" s="8"/>
      <c r="FK271" s="8"/>
      <c r="FL271" s="8"/>
      <c r="FM271" s="8"/>
      <c r="FN271" s="8"/>
      <c r="FO271" s="8"/>
      <c r="FP271" s="8"/>
      <c r="FQ271" s="8"/>
      <c r="FR271" s="8"/>
      <c r="FS271" s="8"/>
      <c r="FT271" s="8"/>
      <c r="FU271" s="8"/>
      <c r="FV271" s="8"/>
      <c r="FW271" s="8"/>
      <c r="FX271" s="8"/>
      <c r="FY271" s="8"/>
      <c r="FZ271" s="8"/>
      <c r="GA271" s="8"/>
      <c r="GB271" s="8"/>
      <c r="GC271" s="8"/>
      <c r="GD271" s="8"/>
      <c r="GE271" s="8"/>
      <c r="GF271" s="8"/>
      <c r="GG271" s="8"/>
      <c r="GH271" s="8"/>
      <c r="GI271" s="8"/>
      <c r="GJ271" s="8"/>
      <c r="GK271" s="8"/>
      <c r="GL271" s="8"/>
      <c r="GM271" s="8"/>
      <c r="GN271" s="8"/>
      <c r="GO271" s="8"/>
      <c r="GP271" s="8"/>
      <c r="GQ271" s="8"/>
      <c r="GR271" s="8"/>
      <c r="GS271" s="8"/>
      <c r="GT271" s="8"/>
      <c r="GU271" s="8"/>
      <c r="GV271" s="8"/>
      <c r="GW271" s="8"/>
      <c r="GX271" s="8"/>
      <c r="GY271" s="8"/>
      <c r="GZ271" s="8"/>
      <c r="HA271" s="8"/>
      <c r="HB271" s="8"/>
      <c r="HC271" s="8"/>
      <c r="HD271" s="8"/>
      <c r="HE271" s="8"/>
      <c r="HF271" s="8"/>
      <c r="HG271" s="8"/>
      <c r="HH271" s="8"/>
      <c r="HI271" s="8"/>
      <c r="HJ271" s="8"/>
      <c r="HK271" s="8"/>
      <c r="HL271" s="8"/>
      <c r="HM271" s="8"/>
      <c r="HN271" s="8"/>
      <c r="HO271" s="8"/>
      <c r="HP271" s="8"/>
      <c r="HQ271" s="8"/>
      <c r="HR271" s="8"/>
      <c r="HS271" s="8"/>
      <c r="HT271" s="8"/>
      <c r="HU271" s="8"/>
      <c r="HV271" s="8"/>
      <c r="HW271" s="8"/>
      <c r="HX271" s="8"/>
      <c r="HY271" s="8"/>
      <c r="HZ271" s="8"/>
      <c r="IA271" s="8"/>
      <c r="IB271" s="8"/>
      <c r="IC271" s="8"/>
      <c r="ID271" s="8"/>
    </row>
    <row r="272" spans="5:23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c r="DX272" s="8"/>
      <c r="DY272" s="8"/>
      <c r="DZ272" s="8"/>
      <c r="EA272" s="8"/>
      <c r="EB272" s="8"/>
      <c r="EC272" s="8"/>
      <c r="ED272" s="8"/>
      <c r="EE272" s="8"/>
      <c r="EF272" s="8"/>
      <c r="EG272" s="8"/>
      <c r="EH272" s="8"/>
      <c r="EI272" s="8"/>
      <c r="EJ272" s="8"/>
      <c r="EK272" s="8"/>
      <c r="EL272" s="8"/>
      <c r="EM272" s="8"/>
      <c r="EN272" s="8"/>
      <c r="EO272" s="8"/>
      <c r="EP272" s="8"/>
      <c r="EQ272" s="8"/>
      <c r="ER272" s="8"/>
      <c r="ES272" s="8"/>
      <c r="ET272" s="8"/>
      <c r="EU272" s="8"/>
      <c r="EV272" s="8"/>
      <c r="EW272" s="8"/>
      <c r="EX272" s="8"/>
      <c r="EY272" s="8"/>
      <c r="EZ272" s="8"/>
      <c r="FA272" s="8"/>
      <c r="FB272" s="8"/>
      <c r="FC272" s="8"/>
      <c r="FD272" s="8"/>
      <c r="FE272" s="8"/>
      <c r="FF272" s="8"/>
      <c r="FG272" s="8"/>
      <c r="FH272" s="8"/>
      <c r="FI272" s="8"/>
      <c r="FJ272" s="8"/>
      <c r="FK272" s="8"/>
      <c r="FL272" s="8"/>
      <c r="FM272" s="8"/>
      <c r="FN272" s="8"/>
      <c r="FO272" s="8"/>
      <c r="FP272" s="8"/>
      <c r="FQ272" s="8"/>
      <c r="FR272" s="8"/>
      <c r="FS272" s="8"/>
      <c r="FT272" s="8"/>
      <c r="FU272" s="8"/>
      <c r="FV272" s="8"/>
      <c r="FW272" s="8"/>
      <c r="FX272" s="8"/>
      <c r="FY272" s="8"/>
      <c r="FZ272" s="8"/>
      <c r="GA272" s="8"/>
      <c r="GB272" s="8"/>
      <c r="GC272" s="8"/>
      <c r="GD272" s="8"/>
      <c r="GE272" s="8"/>
      <c r="GF272" s="8"/>
      <c r="GG272" s="8"/>
      <c r="GH272" s="8"/>
      <c r="GI272" s="8"/>
      <c r="GJ272" s="8"/>
      <c r="GK272" s="8"/>
      <c r="GL272" s="8"/>
      <c r="GM272" s="8"/>
      <c r="GN272" s="8"/>
      <c r="GO272" s="8"/>
      <c r="GP272" s="8"/>
      <c r="GQ272" s="8"/>
      <c r="GR272" s="8"/>
      <c r="GS272" s="8"/>
      <c r="GT272" s="8"/>
      <c r="GU272" s="8"/>
      <c r="GV272" s="8"/>
      <c r="GW272" s="8"/>
      <c r="GX272" s="8"/>
      <c r="GY272" s="8"/>
      <c r="GZ272" s="8"/>
      <c r="HA272" s="8"/>
      <c r="HB272" s="8"/>
      <c r="HC272" s="8"/>
      <c r="HD272" s="8"/>
      <c r="HE272" s="8"/>
      <c r="HF272" s="8"/>
      <c r="HG272" s="8"/>
      <c r="HH272" s="8"/>
      <c r="HI272" s="8"/>
      <c r="HJ272" s="8"/>
      <c r="HK272" s="8"/>
      <c r="HL272" s="8"/>
      <c r="HM272" s="8"/>
      <c r="HN272" s="8"/>
      <c r="HO272" s="8"/>
      <c r="HP272" s="8"/>
      <c r="HQ272" s="8"/>
      <c r="HR272" s="8"/>
      <c r="HS272" s="8"/>
      <c r="HT272" s="8"/>
      <c r="HU272" s="8"/>
      <c r="HV272" s="8"/>
      <c r="HW272" s="8"/>
      <c r="HX272" s="8"/>
      <c r="HY272" s="8"/>
      <c r="HZ272" s="8"/>
      <c r="IA272" s="8"/>
      <c r="IB272" s="8"/>
      <c r="IC272" s="8"/>
      <c r="ID272" s="8"/>
    </row>
    <row r="273" spans="5:23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c r="DM273" s="8"/>
      <c r="DN273" s="8"/>
      <c r="DO273" s="8"/>
      <c r="DP273" s="8"/>
      <c r="DQ273" s="8"/>
      <c r="DR273" s="8"/>
      <c r="DS273" s="8"/>
      <c r="DT273" s="8"/>
      <c r="DU273" s="8"/>
      <c r="DV273" s="8"/>
      <c r="DW273" s="8"/>
      <c r="DX273" s="8"/>
      <c r="DY273" s="8"/>
      <c r="DZ273" s="8"/>
      <c r="EA273" s="8"/>
      <c r="EB273" s="8"/>
      <c r="EC273" s="8"/>
      <c r="ED273" s="8"/>
      <c r="EE273" s="8"/>
      <c r="EF273" s="8"/>
      <c r="EG273" s="8"/>
      <c r="EH273" s="8"/>
      <c r="EI273" s="8"/>
      <c r="EJ273" s="8"/>
      <c r="EK273" s="8"/>
      <c r="EL273" s="8"/>
      <c r="EM273" s="8"/>
      <c r="EN273" s="8"/>
      <c r="EO273" s="8"/>
      <c r="EP273" s="8"/>
      <c r="EQ273" s="8"/>
      <c r="ER273" s="8"/>
      <c r="ES273" s="8"/>
      <c r="ET273" s="8"/>
      <c r="EU273" s="8"/>
      <c r="EV273" s="8"/>
      <c r="EW273" s="8"/>
      <c r="EX273" s="8"/>
      <c r="EY273" s="8"/>
      <c r="EZ273" s="8"/>
      <c r="FA273" s="8"/>
      <c r="FB273" s="8"/>
      <c r="FC273" s="8"/>
      <c r="FD273" s="8"/>
      <c r="FE273" s="8"/>
      <c r="FF273" s="8"/>
      <c r="FG273" s="8"/>
      <c r="FH273" s="8"/>
      <c r="FI273" s="8"/>
      <c r="FJ273" s="8"/>
      <c r="FK273" s="8"/>
      <c r="FL273" s="8"/>
      <c r="FM273" s="8"/>
      <c r="FN273" s="8"/>
      <c r="FO273" s="8"/>
      <c r="FP273" s="8"/>
      <c r="FQ273" s="8"/>
      <c r="FR273" s="8"/>
      <c r="FS273" s="8"/>
      <c r="FT273" s="8"/>
      <c r="FU273" s="8"/>
      <c r="FV273" s="8"/>
      <c r="FW273" s="8"/>
      <c r="FX273" s="8"/>
      <c r="FY273" s="8"/>
      <c r="FZ273" s="8"/>
      <c r="GA273" s="8"/>
      <c r="GB273" s="8"/>
      <c r="GC273" s="8"/>
      <c r="GD273" s="8"/>
      <c r="GE273" s="8"/>
      <c r="GF273" s="8"/>
      <c r="GG273" s="8"/>
      <c r="GH273" s="8"/>
      <c r="GI273" s="8"/>
      <c r="GJ273" s="8"/>
      <c r="GK273" s="8"/>
      <c r="GL273" s="8"/>
      <c r="GM273" s="8"/>
      <c r="GN273" s="8"/>
      <c r="GO273" s="8"/>
      <c r="GP273" s="8"/>
      <c r="GQ273" s="8"/>
      <c r="GR273" s="8"/>
      <c r="GS273" s="8"/>
      <c r="GT273" s="8"/>
      <c r="GU273" s="8"/>
      <c r="GV273" s="8"/>
      <c r="GW273" s="8"/>
      <c r="GX273" s="8"/>
      <c r="GY273" s="8"/>
      <c r="GZ273" s="8"/>
      <c r="HA273" s="8"/>
      <c r="HB273" s="8"/>
      <c r="HC273" s="8"/>
      <c r="HD273" s="8"/>
      <c r="HE273" s="8"/>
      <c r="HF273" s="8"/>
      <c r="HG273" s="8"/>
      <c r="HH273" s="8"/>
      <c r="HI273" s="8"/>
      <c r="HJ273" s="8"/>
      <c r="HK273" s="8"/>
      <c r="HL273" s="8"/>
      <c r="HM273" s="8"/>
      <c r="HN273" s="8"/>
      <c r="HO273" s="8"/>
      <c r="HP273" s="8"/>
      <c r="HQ273" s="8"/>
      <c r="HR273" s="8"/>
      <c r="HS273" s="8"/>
      <c r="HT273" s="8"/>
      <c r="HU273" s="8"/>
      <c r="HV273" s="8"/>
      <c r="HW273" s="8"/>
      <c r="HX273" s="8"/>
      <c r="HY273" s="8"/>
      <c r="HZ273" s="8"/>
      <c r="IA273" s="8"/>
      <c r="IB273" s="8"/>
      <c r="IC273" s="8"/>
      <c r="ID273" s="8"/>
    </row>
    <row r="274" spans="5:23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c r="DX274" s="8"/>
      <c r="DY274" s="8"/>
      <c r="DZ274" s="8"/>
      <c r="EA274" s="8"/>
      <c r="EB274" s="8"/>
      <c r="EC274" s="8"/>
      <c r="ED274" s="8"/>
      <c r="EE274" s="8"/>
      <c r="EF274" s="8"/>
      <c r="EG274" s="8"/>
      <c r="EH274" s="8"/>
      <c r="EI274" s="8"/>
      <c r="EJ274" s="8"/>
      <c r="EK274" s="8"/>
      <c r="EL274" s="8"/>
      <c r="EM274" s="8"/>
      <c r="EN274" s="8"/>
      <c r="EO274" s="8"/>
      <c r="EP274" s="8"/>
      <c r="EQ274" s="8"/>
      <c r="ER274" s="8"/>
      <c r="ES274" s="8"/>
      <c r="ET274" s="8"/>
      <c r="EU274" s="8"/>
      <c r="EV274" s="8"/>
      <c r="EW274" s="8"/>
      <c r="EX274" s="8"/>
      <c r="EY274" s="8"/>
      <c r="EZ274" s="8"/>
      <c r="FA274" s="8"/>
      <c r="FB274" s="8"/>
      <c r="FC274" s="8"/>
      <c r="FD274" s="8"/>
      <c r="FE274" s="8"/>
      <c r="FF274" s="8"/>
      <c r="FG274" s="8"/>
      <c r="FH274" s="8"/>
      <c r="FI274" s="8"/>
      <c r="FJ274" s="8"/>
      <c r="FK274" s="8"/>
      <c r="FL274" s="8"/>
      <c r="FM274" s="8"/>
      <c r="FN274" s="8"/>
      <c r="FO274" s="8"/>
      <c r="FP274" s="8"/>
      <c r="FQ274" s="8"/>
      <c r="FR274" s="8"/>
      <c r="FS274" s="8"/>
      <c r="FT274" s="8"/>
      <c r="FU274" s="8"/>
      <c r="FV274" s="8"/>
      <c r="FW274" s="8"/>
      <c r="FX274" s="8"/>
      <c r="FY274" s="8"/>
      <c r="FZ274" s="8"/>
      <c r="GA274" s="8"/>
      <c r="GB274" s="8"/>
      <c r="GC274" s="8"/>
      <c r="GD274" s="8"/>
      <c r="GE274" s="8"/>
      <c r="GF274" s="8"/>
      <c r="GG274" s="8"/>
      <c r="GH274" s="8"/>
      <c r="GI274" s="8"/>
      <c r="GJ274" s="8"/>
      <c r="GK274" s="8"/>
      <c r="GL274" s="8"/>
      <c r="GM274" s="8"/>
      <c r="GN274" s="8"/>
      <c r="GO274" s="8"/>
      <c r="GP274" s="8"/>
      <c r="GQ274" s="8"/>
      <c r="GR274" s="8"/>
      <c r="GS274" s="8"/>
      <c r="GT274" s="8"/>
      <c r="GU274" s="8"/>
      <c r="GV274" s="8"/>
      <c r="GW274" s="8"/>
      <c r="GX274" s="8"/>
      <c r="GY274" s="8"/>
      <c r="GZ274" s="8"/>
      <c r="HA274" s="8"/>
      <c r="HB274" s="8"/>
      <c r="HC274" s="8"/>
      <c r="HD274" s="8"/>
      <c r="HE274" s="8"/>
      <c r="HF274" s="8"/>
      <c r="HG274" s="8"/>
      <c r="HH274" s="8"/>
      <c r="HI274" s="8"/>
      <c r="HJ274" s="8"/>
      <c r="HK274" s="8"/>
      <c r="HL274" s="8"/>
      <c r="HM274" s="8"/>
      <c r="HN274" s="8"/>
      <c r="HO274" s="8"/>
      <c r="HP274" s="8"/>
      <c r="HQ274" s="8"/>
      <c r="HR274" s="8"/>
      <c r="HS274" s="8"/>
      <c r="HT274" s="8"/>
      <c r="HU274" s="8"/>
      <c r="HV274" s="8"/>
      <c r="HW274" s="8"/>
      <c r="HX274" s="8"/>
      <c r="HY274" s="8"/>
      <c r="HZ274" s="8"/>
      <c r="IA274" s="8"/>
      <c r="IB274" s="8"/>
      <c r="IC274" s="8"/>
      <c r="ID274" s="8"/>
    </row>
    <row r="275" spans="5:23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c r="DX275" s="8"/>
      <c r="DY275" s="8"/>
      <c r="DZ275" s="8"/>
      <c r="EA275" s="8"/>
      <c r="EB275" s="8"/>
      <c r="EC275" s="8"/>
      <c r="ED275" s="8"/>
      <c r="EE275" s="8"/>
      <c r="EF275" s="8"/>
      <c r="EG275" s="8"/>
      <c r="EH275" s="8"/>
      <c r="EI275" s="8"/>
      <c r="EJ275" s="8"/>
      <c r="EK275" s="8"/>
      <c r="EL275" s="8"/>
      <c r="EM275" s="8"/>
      <c r="EN275" s="8"/>
      <c r="EO275" s="8"/>
      <c r="EP275" s="8"/>
      <c r="EQ275" s="8"/>
      <c r="ER275" s="8"/>
      <c r="ES275" s="8"/>
      <c r="ET275" s="8"/>
      <c r="EU275" s="8"/>
      <c r="EV275" s="8"/>
      <c r="EW275" s="8"/>
      <c r="EX275" s="8"/>
      <c r="EY275" s="8"/>
      <c r="EZ275" s="8"/>
      <c r="FA275" s="8"/>
      <c r="FB275" s="8"/>
      <c r="FC275" s="8"/>
      <c r="FD275" s="8"/>
      <c r="FE275" s="8"/>
      <c r="FF275" s="8"/>
      <c r="FG275" s="8"/>
      <c r="FH275" s="8"/>
      <c r="FI275" s="8"/>
      <c r="FJ275" s="8"/>
      <c r="FK275" s="8"/>
      <c r="FL275" s="8"/>
      <c r="FM275" s="8"/>
      <c r="FN275" s="8"/>
      <c r="FO275" s="8"/>
      <c r="FP275" s="8"/>
      <c r="FQ275" s="8"/>
      <c r="FR275" s="8"/>
      <c r="FS275" s="8"/>
      <c r="FT275" s="8"/>
      <c r="FU275" s="8"/>
      <c r="FV275" s="8"/>
      <c r="FW275" s="8"/>
      <c r="FX275" s="8"/>
      <c r="FY275" s="8"/>
      <c r="FZ275" s="8"/>
      <c r="GA275" s="8"/>
      <c r="GB275" s="8"/>
      <c r="GC275" s="8"/>
      <c r="GD275" s="8"/>
      <c r="GE275" s="8"/>
      <c r="GF275" s="8"/>
      <c r="GG275" s="8"/>
      <c r="GH275" s="8"/>
      <c r="GI275" s="8"/>
      <c r="GJ275" s="8"/>
      <c r="GK275" s="8"/>
      <c r="GL275" s="8"/>
      <c r="GM275" s="8"/>
      <c r="GN275" s="8"/>
      <c r="GO275" s="8"/>
      <c r="GP275" s="8"/>
      <c r="GQ275" s="8"/>
      <c r="GR275" s="8"/>
      <c r="GS275" s="8"/>
      <c r="GT275" s="8"/>
      <c r="GU275" s="8"/>
      <c r="GV275" s="8"/>
      <c r="GW275" s="8"/>
      <c r="GX275" s="8"/>
      <c r="GY275" s="8"/>
      <c r="GZ275" s="8"/>
      <c r="HA275" s="8"/>
      <c r="HB275" s="8"/>
      <c r="HC275" s="8"/>
      <c r="HD275" s="8"/>
      <c r="HE275" s="8"/>
      <c r="HF275" s="8"/>
      <c r="HG275" s="8"/>
      <c r="HH275" s="8"/>
      <c r="HI275" s="8"/>
      <c r="HJ275" s="8"/>
      <c r="HK275" s="8"/>
      <c r="HL275" s="8"/>
      <c r="HM275" s="8"/>
      <c r="HN275" s="8"/>
      <c r="HO275" s="8"/>
      <c r="HP275" s="8"/>
      <c r="HQ275" s="8"/>
      <c r="HR275" s="8"/>
      <c r="HS275" s="8"/>
      <c r="HT275" s="8"/>
      <c r="HU275" s="8"/>
      <c r="HV275" s="8"/>
      <c r="HW275" s="8"/>
      <c r="HX275" s="8"/>
      <c r="HY275" s="8"/>
      <c r="HZ275" s="8"/>
      <c r="IA275" s="8"/>
      <c r="IB275" s="8"/>
      <c r="IC275" s="8"/>
      <c r="ID275" s="8"/>
    </row>
    <row r="276" spans="5:23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c r="HZ276" s="8"/>
      <c r="IA276" s="8"/>
      <c r="IB276" s="8"/>
      <c r="IC276" s="8"/>
      <c r="ID276" s="8"/>
    </row>
    <row r="277" spans="5:23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c r="IB277" s="8"/>
      <c r="IC277" s="8"/>
      <c r="ID277" s="8"/>
    </row>
    <row r="278" spans="5:23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c r="HU278" s="8"/>
      <c r="HV278" s="8"/>
      <c r="HW278" s="8"/>
      <c r="HX278" s="8"/>
      <c r="HY278" s="8"/>
      <c r="HZ278" s="8"/>
      <c r="IA278" s="8"/>
      <c r="IB278" s="8"/>
      <c r="IC278" s="8"/>
      <c r="ID278" s="8"/>
    </row>
    <row r="279" spans="5:23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c r="IB279" s="8"/>
      <c r="IC279" s="8"/>
      <c r="ID279" s="8"/>
    </row>
    <row r="280" spans="5:23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c r="HU280" s="8"/>
      <c r="HV280" s="8"/>
      <c r="HW280" s="8"/>
      <c r="HX280" s="8"/>
      <c r="HY280" s="8"/>
      <c r="HZ280" s="8"/>
      <c r="IA280" s="8"/>
      <c r="IB280" s="8"/>
      <c r="IC280" s="8"/>
      <c r="ID280" s="8"/>
    </row>
    <row r="281" spans="5:23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row>
    <row r="282" spans="5:23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row>
    <row r="283" spans="5:23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row>
    <row r="284" spans="5:23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row>
    <row r="285" spans="5:23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row>
    <row r="286" spans="5:23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row>
    <row r="287" spans="5:23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row>
    <row r="288" spans="5:23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row>
    <row r="289" spans="5:23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row>
    <row r="290" spans="5:23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row>
    <row r="291" spans="5:23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row>
    <row r="292" spans="5:23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row>
    <row r="293" spans="5:23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row>
    <row r="294" spans="5:23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row>
    <row r="295" spans="5:23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row>
    <row r="296" spans="5:23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row>
    <row r="297" spans="5:23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row>
    <row r="298" spans="5:23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row>
    <row r="299" spans="5:23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row>
    <row r="300" spans="5:23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row>
    <row r="301" spans="5:23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row>
    <row r="302" spans="5:23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row>
    <row r="303" spans="5:23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row>
    <row r="304" spans="5:23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row>
    <row r="305" spans="5:23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row>
    <row r="306" spans="5:23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row>
    <row r="307" spans="5:23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row>
    <row r="308" spans="5:23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row>
    <row r="309" spans="5:23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row>
    <row r="310" spans="5:23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row>
    <row r="311" spans="5:23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row>
    <row r="312" spans="5:23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row>
    <row r="313" spans="5:23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row>
    <row r="314" spans="5:23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row>
    <row r="315" spans="5:23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row>
    <row r="316" spans="5:23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row>
    <row r="317" spans="5:23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row>
    <row r="318" spans="5:23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row>
    <row r="319" spans="5:23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row>
    <row r="320" spans="5:23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row>
    <row r="321" spans="5:23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row>
    <row r="322" spans="5:23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row>
    <row r="323" spans="5:23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row>
    <row r="324" spans="5:23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row>
    <row r="325" spans="5:23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row>
    <row r="326" spans="5:23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row>
    <row r="327" spans="5:23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row>
    <row r="328" spans="5:23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row>
    <row r="329" spans="5:23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row>
    <row r="330" spans="5:23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row>
    <row r="331" spans="5:23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row>
    <row r="332" spans="5:23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row>
    <row r="333" spans="5:23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row>
    <row r="334" spans="5:23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row>
    <row r="335" spans="5:23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row>
    <row r="336" spans="5:23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row>
    <row r="337" spans="5:23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row>
    <row r="338" spans="5:23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row>
    <row r="339" spans="5:23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row>
    <row r="340" spans="5:23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row>
    <row r="341" spans="5:23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row>
    <row r="342" spans="5:23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row>
    <row r="343" spans="5:23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row>
    <row r="344" spans="5:23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row>
    <row r="345" spans="5:23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row>
    <row r="346" spans="5:23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row>
    <row r="347" spans="5:23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row>
    <row r="348" spans="5:23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row>
    <row r="349" spans="5:23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row>
    <row r="350" spans="5:23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row>
    <row r="351" spans="5:23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row>
    <row r="352" spans="5:23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row>
    <row r="353" spans="5:23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row>
    <row r="354" spans="5:23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row>
    <row r="355" spans="5:23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row>
    <row r="356" spans="5:23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row>
    <row r="357" spans="5:23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row>
    <row r="358" spans="5:23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row>
    <row r="359" spans="5:23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row>
    <row r="360" spans="5:23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row>
    <row r="361" spans="5:23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row>
    <row r="362" spans="5:23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row>
    <row r="363" spans="5:23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row>
    <row r="364" spans="5:23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row>
    <row r="365" spans="5:23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row>
    <row r="366" spans="5:23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row>
    <row r="367" spans="5:23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row>
    <row r="368" spans="5:23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row>
    <row r="369" spans="5:23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row>
    <row r="370" spans="5:23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row>
    <row r="371" spans="5:23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row>
    <row r="372" spans="5:23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row>
    <row r="373" spans="5:23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row>
    <row r="374" spans="5:23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row>
    <row r="375" spans="5:23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row>
    <row r="376" spans="5:23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row>
    <row r="377" spans="5:23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row>
    <row r="378" spans="5:23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row>
    <row r="379" spans="5:23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row>
    <row r="380" spans="5:23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row>
    <row r="381" spans="5:23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row>
    <row r="382" spans="5:23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row>
    <row r="383" spans="5:23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row>
    <row r="384" spans="5:23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row>
    <row r="385" spans="5:23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row>
    <row r="386" spans="5:23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row>
    <row r="387" spans="5:23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row>
    <row r="388" spans="5:23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row>
    <row r="389" spans="5:23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row>
    <row r="390" spans="5:23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row>
    <row r="391" spans="5:23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row>
    <row r="392" spans="5:23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row>
    <row r="393" spans="5:23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row>
    <row r="394" spans="5:23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row>
    <row r="395" spans="5:23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row>
    <row r="396" spans="5:23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row>
    <row r="397" spans="5:23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row>
    <row r="398" spans="5:23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row>
    <row r="399" spans="5:23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row>
    <row r="400" spans="5:23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row>
    <row r="401" spans="5:23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row>
    <row r="402" spans="5:23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row>
    <row r="403" spans="5:23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row>
    <row r="404" spans="5:23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row>
    <row r="405" spans="5:23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row>
    <row r="406" spans="5:23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row>
    <row r="407" spans="5:23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row>
    <row r="408" spans="5:23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row>
    <row r="409" spans="5:23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row>
    <row r="410" spans="5:23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row>
    <row r="411" spans="5:23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row>
    <row r="412" spans="5:23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row>
    <row r="413" spans="5:23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row>
    <row r="414" spans="5:23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row>
    <row r="415" spans="5:23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row>
    <row r="416" spans="5:23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row>
    <row r="417" spans="5:23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row>
    <row r="418" spans="5:23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row>
    <row r="419" spans="5:23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row>
    <row r="420" spans="5:23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row>
    <row r="421" spans="5:23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row>
    <row r="422" spans="5:23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row>
    <row r="423" spans="5:23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row>
    <row r="424" spans="5:23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row>
    <row r="425" spans="5:23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row>
    <row r="426" spans="5:23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row>
    <row r="427" spans="5:23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row>
    <row r="428" spans="5:23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row>
    <row r="429" spans="5:23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row>
    <row r="430" spans="5:23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row>
    <row r="431" spans="5:23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row>
    <row r="432" spans="5:23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row>
    <row r="433" spans="5:23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row>
    <row r="434" spans="5:23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row>
    <row r="435" spans="5:23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row>
    <row r="436" spans="5:23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row>
    <row r="437" spans="5:23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row>
    <row r="438" spans="5:23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row>
    <row r="439" spans="5:23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row>
    <row r="440" spans="5:23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row>
    <row r="441" spans="5:23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row>
    <row r="442" spans="5:23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row>
    <row r="443" spans="5:23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row>
    <row r="444" spans="5:23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row>
    <row r="445" spans="5:23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row>
    <row r="446" spans="5:23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row>
    <row r="447" spans="5:23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row>
    <row r="448" spans="5:23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row>
    <row r="449" spans="5:23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row>
    <row r="450" spans="5:23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row>
    <row r="451" spans="5:23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row>
    <row r="452" spans="5:23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row>
    <row r="453" spans="5:23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row>
    <row r="454" spans="5:23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row>
    <row r="455" spans="5:23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row>
    <row r="456" spans="5:23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row>
    <row r="457" spans="5:23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row>
    <row r="458" spans="5:23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row>
    <row r="459" spans="5:23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row>
    <row r="460" spans="5:23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row>
    <row r="461" spans="5:23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row>
    <row r="462" spans="5:23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row>
    <row r="463" spans="5:23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row>
    <row r="464" spans="5:23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row>
    <row r="465" spans="5:23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row>
    <row r="466" spans="5:23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row>
    <row r="467" spans="5:23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row>
    <row r="468" spans="5:23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row>
    <row r="469" spans="5:23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row>
    <row r="470" spans="5:23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row>
    <row r="471" spans="5:23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row>
    <row r="472" spans="5:23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row>
    <row r="473" spans="5:23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row>
    <row r="474" spans="5:23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row>
    <row r="475" spans="5:23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row>
    <row r="476" spans="5:23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row>
    <row r="477" spans="5:23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row>
    <row r="478" spans="5:23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row>
    <row r="479" spans="5:23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row>
    <row r="480" spans="5:23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row>
    <row r="481" spans="5:23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row>
    <row r="482" spans="5:23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row>
    <row r="483" spans="5:23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row>
    <row r="484" spans="5:23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row>
    <row r="485" spans="5:23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row>
    <row r="486" spans="5:23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row>
    <row r="487" spans="5:23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row>
    <row r="488" spans="5:23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row>
    <row r="489" spans="5:23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row>
    <row r="490" spans="5:23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row>
    <row r="491" spans="5:23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row>
    <row r="492" spans="5:23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row>
    <row r="493" spans="5:23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row>
    <row r="494" spans="5:23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row>
    <row r="495" spans="5:23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row>
    <row r="496" spans="5:23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row>
    <row r="497" spans="5:23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row>
    <row r="498" spans="5:23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row>
    <row r="499" spans="5:23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row>
    <row r="500" spans="5:23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row>
    <row r="501" spans="5:23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row>
    <row r="502" spans="5:23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row>
    <row r="503" spans="5:23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row>
    <row r="504" spans="5:23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row>
    <row r="505" spans="5:23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row>
    <row r="506" spans="5:23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row>
    <row r="507" spans="5:23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row>
    <row r="508" spans="5:23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row>
    <row r="509" spans="5:23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row>
    <row r="510" spans="5:23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row>
    <row r="511" spans="5:23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row>
    <row r="512" spans="5:23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row>
    <row r="513" spans="5:23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row>
    <row r="514" spans="5:23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row>
    <row r="515" spans="5:23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row>
    <row r="516" spans="5:23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row>
    <row r="517" spans="5:23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row>
    <row r="518" spans="5:23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row>
    <row r="519" spans="5:23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row>
    <row r="520" spans="5:23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row>
    <row r="521" spans="5:23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row>
    <row r="522" spans="5:23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row>
    <row r="523" spans="5:23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row>
    <row r="524" spans="5:23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row>
    <row r="525" spans="5:23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row>
    <row r="526" spans="5:23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row>
    <row r="527" spans="5:23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row>
    <row r="528" spans="5:23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row>
    <row r="529" spans="5:23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row>
    <row r="530" spans="5:23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row>
    <row r="531" spans="5:23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row>
    <row r="532" spans="5:23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row>
    <row r="533" spans="5:23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row>
    <row r="534" spans="5:23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row>
    <row r="535" spans="5:23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row>
    <row r="536" spans="5:23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row>
    <row r="537" spans="5:23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row>
    <row r="538" spans="5:23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row>
    <row r="539" spans="5:23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row>
    <row r="540" spans="5:23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row>
    <row r="541" spans="5:23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row>
    <row r="542" spans="5:23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row>
    <row r="543" spans="5:23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row>
    <row r="544" spans="5:23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row>
    <row r="545" spans="5:23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row>
    <row r="546" spans="5:23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row>
    <row r="547" spans="5:23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row>
    <row r="548" spans="5:23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row>
    <row r="549" spans="5:23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row>
    <row r="550" spans="5:23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row>
    <row r="551" spans="5:23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row>
    <row r="552" spans="5:23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row>
    <row r="553" spans="5:23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row>
    <row r="554" spans="5:23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row>
    <row r="555" spans="5:23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row>
    <row r="556" spans="5:23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row>
    <row r="557" spans="5:23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row>
    <row r="558" spans="5:23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row>
    <row r="559" spans="5:23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row>
    <row r="560" spans="5:23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row>
    <row r="561" spans="5:23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row>
    <row r="562" spans="5:23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row>
    <row r="563" spans="5:23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row>
    <row r="564" spans="5:23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row>
    <row r="565" spans="5:23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row>
    <row r="566" spans="5:23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row>
    <row r="567" spans="5:23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row>
    <row r="568" spans="5:23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row>
    <row r="569" spans="5:23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row>
    <row r="570" spans="5:23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row>
    <row r="571" spans="5:23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row>
    <row r="572" spans="5:23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row>
    <row r="573" spans="5:23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row>
    <row r="574" spans="5:23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row>
    <row r="575" spans="5:23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row>
    <row r="576" spans="5:23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row>
    <row r="577" spans="5:23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row>
    <row r="578" spans="5:23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row>
    <row r="579" spans="5:23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row>
    <row r="580" spans="5:23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row>
    <row r="581" spans="5:23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c r="DI581" s="8"/>
      <c r="DJ581" s="8"/>
      <c r="DK581" s="8"/>
      <c r="DL581" s="8"/>
      <c r="DM581" s="8"/>
      <c r="DN581" s="8"/>
      <c r="DO581" s="8"/>
      <c r="DP581" s="8"/>
      <c r="DQ581" s="8"/>
      <c r="DR581" s="8"/>
      <c r="DS581" s="8"/>
      <c r="DT581" s="8"/>
      <c r="DU581" s="8"/>
      <c r="DV581" s="8"/>
      <c r="DW581" s="8"/>
      <c r="DX581" s="8"/>
      <c r="DY581" s="8"/>
      <c r="DZ581" s="8"/>
      <c r="EA581" s="8"/>
      <c r="EB581" s="8"/>
      <c r="EC581" s="8"/>
      <c r="ED581" s="8"/>
      <c r="EE581" s="8"/>
      <c r="EF581" s="8"/>
      <c r="EG581" s="8"/>
      <c r="EH581" s="8"/>
      <c r="EI581" s="8"/>
      <c r="EJ581" s="8"/>
      <c r="EK581" s="8"/>
      <c r="EL581" s="8"/>
      <c r="EM581" s="8"/>
      <c r="EN581" s="8"/>
      <c r="EO581" s="8"/>
      <c r="EP581" s="8"/>
      <c r="EQ581" s="8"/>
      <c r="ER581" s="8"/>
      <c r="ES581" s="8"/>
      <c r="ET581" s="8"/>
      <c r="EU581" s="8"/>
      <c r="EV581" s="8"/>
      <c r="EW581" s="8"/>
      <c r="EX581" s="8"/>
      <c r="EY581" s="8"/>
      <c r="EZ581" s="8"/>
      <c r="FA581" s="8"/>
      <c r="FB581" s="8"/>
      <c r="FC581" s="8"/>
      <c r="FD581" s="8"/>
      <c r="FE581" s="8"/>
      <c r="FF581" s="8"/>
      <c r="FG581" s="8"/>
      <c r="FH581" s="8"/>
      <c r="FI581" s="8"/>
      <c r="FJ581" s="8"/>
      <c r="FK581" s="8"/>
      <c r="FL581" s="8"/>
      <c r="FM581" s="8"/>
      <c r="FN581" s="8"/>
      <c r="FO581" s="8"/>
      <c r="FP581" s="8"/>
      <c r="FQ581" s="8"/>
      <c r="FR581" s="8"/>
      <c r="FS581" s="8"/>
      <c r="FT581" s="8"/>
      <c r="FU581" s="8"/>
      <c r="FV581" s="8"/>
      <c r="FW581" s="8"/>
      <c r="FX581" s="8"/>
      <c r="FY581" s="8"/>
      <c r="FZ581" s="8"/>
      <c r="GA581" s="8"/>
      <c r="GB581" s="8"/>
      <c r="GC581" s="8"/>
      <c r="GD581" s="8"/>
      <c r="GE581" s="8"/>
      <c r="GF581" s="8"/>
      <c r="GG581" s="8"/>
      <c r="GH581" s="8"/>
      <c r="GI581" s="8"/>
      <c r="GJ581" s="8"/>
      <c r="GK581" s="8"/>
      <c r="GL581" s="8"/>
      <c r="GM581" s="8"/>
      <c r="GN581" s="8"/>
      <c r="GO581" s="8"/>
      <c r="GP581" s="8"/>
      <c r="GQ581" s="8"/>
      <c r="GR581" s="8"/>
      <c r="GS581" s="8"/>
      <c r="GT581" s="8"/>
      <c r="GU581" s="8"/>
      <c r="GV581" s="8"/>
      <c r="GW581" s="8"/>
      <c r="GX581" s="8"/>
      <c r="GY581" s="8"/>
      <c r="GZ581" s="8"/>
      <c r="HA581" s="8"/>
      <c r="HB581" s="8"/>
      <c r="HC581" s="8"/>
      <c r="HD581" s="8"/>
      <c r="HE581" s="8"/>
      <c r="HF581" s="8"/>
      <c r="HG581" s="8"/>
      <c r="HH581" s="8"/>
      <c r="HI581" s="8"/>
      <c r="HJ581" s="8"/>
      <c r="HK581" s="8"/>
      <c r="HL581" s="8"/>
      <c r="HM581" s="8"/>
      <c r="HN581" s="8"/>
      <c r="HO581" s="8"/>
      <c r="HP581" s="8"/>
      <c r="HQ581" s="8"/>
      <c r="HR581" s="8"/>
      <c r="HS581" s="8"/>
      <c r="HT581" s="8"/>
      <c r="HU581" s="8"/>
      <c r="HV581" s="8"/>
      <c r="HW581" s="8"/>
      <c r="HX581" s="8"/>
      <c r="HY581" s="8"/>
      <c r="HZ581" s="8"/>
      <c r="IA581" s="8"/>
      <c r="IB581" s="8"/>
      <c r="IC581" s="8"/>
      <c r="ID581" s="8"/>
    </row>
    <row r="582" spans="5:23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8"/>
      <c r="DM582" s="8"/>
      <c r="DN582" s="8"/>
      <c r="DO582" s="8"/>
      <c r="DP582" s="8"/>
      <c r="DQ582" s="8"/>
      <c r="DR582" s="8"/>
      <c r="DS582" s="8"/>
      <c r="DT582" s="8"/>
      <c r="DU582" s="8"/>
      <c r="DV582" s="8"/>
      <c r="DW582" s="8"/>
      <c r="DX582" s="8"/>
      <c r="DY582" s="8"/>
      <c r="DZ582" s="8"/>
      <c r="EA582" s="8"/>
      <c r="EB582" s="8"/>
      <c r="EC582" s="8"/>
      <c r="ED582" s="8"/>
      <c r="EE582" s="8"/>
      <c r="EF582" s="8"/>
      <c r="EG582" s="8"/>
      <c r="EH582" s="8"/>
      <c r="EI582" s="8"/>
      <c r="EJ582" s="8"/>
      <c r="EK582" s="8"/>
      <c r="EL582" s="8"/>
      <c r="EM582" s="8"/>
      <c r="EN582" s="8"/>
      <c r="EO582" s="8"/>
      <c r="EP582" s="8"/>
      <c r="EQ582" s="8"/>
      <c r="ER582" s="8"/>
      <c r="ES582" s="8"/>
      <c r="ET582" s="8"/>
      <c r="EU582" s="8"/>
      <c r="EV582" s="8"/>
      <c r="EW582" s="8"/>
      <c r="EX582" s="8"/>
      <c r="EY582" s="8"/>
      <c r="EZ582" s="8"/>
      <c r="FA582" s="8"/>
      <c r="FB582" s="8"/>
      <c r="FC582" s="8"/>
      <c r="FD582" s="8"/>
      <c r="FE582" s="8"/>
      <c r="FF582" s="8"/>
      <c r="FG582" s="8"/>
      <c r="FH582" s="8"/>
      <c r="FI582" s="8"/>
      <c r="FJ582" s="8"/>
      <c r="FK582" s="8"/>
      <c r="FL582" s="8"/>
      <c r="FM582" s="8"/>
      <c r="FN582" s="8"/>
      <c r="FO582" s="8"/>
      <c r="FP582" s="8"/>
      <c r="FQ582" s="8"/>
      <c r="FR582" s="8"/>
      <c r="FS582" s="8"/>
      <c r="FT582" s="8"/>
      <c r="FU582" s="8"/>
      <c r="FV582" s="8"/>
      <c r="FW582" s="8"/>
      <c r="FX582" s="8"/>
      <c r="FY582" s="8"/>
      <c r="FZ582" s="8"/>
      <c r="GA582" s="8"/>
      <c r="GB582" s="8"/>
      <c r="GC582" s="8"/>
      <c r="GD582" s="8"/>
      <c r="GE582" s="8"/>
      <c r="GF582" s="8"/>
      <c r="GG582" s="8"/>
      <c r="GH582" s="8"/>
      <c r="GI582" s="8"/>
      <c r="GJ582" s="8"/>
      <c r="GK582" s="8"/>
      <c r="GL582" s="8"/>
      <c r="GM582" s="8"/>
      <c r="GN582" s="8"/>
      <c r="GO582" s="8"/>
      <c r="GP582" s="8"/>
      <c r="GQ582" s="8"/>
      <c r="GR582" s="8"/>
      <c r="GS582" s="8"/>
      <c r="GT582" s="8"/>
      <c r="GU582" s="8"/>
      <c r="GV582" s="8"/>
      <c r="GW582" s="8"/>
      <c r="GX582" s="8"/>
      <c r="GY582" s="8"/>
      <c r="GZ582" s="8"/>
      <c r="HA582" s="8"/>
      <c r="HB582" s="8"/>
      <c r="HC582" s="8"/>
      <c r="HD582" s="8"/>
      <c r="HE582" s="8"/>
      <c r="HF582" s="8"/>
      <c r="HG582" s="8"/>
      <c r="HH582" s="8"/>
      <c r="HI582" s="8"/>
      <c r="HJ582" s="8"/>
      <c r="HK582" s="8"/>
      <c r="HL582" s="8"/>
      <c r="HM582" s="8"/>
      <c r="HN582" s="8"/>
      <c r="HO582" s="8"/>
      <c r="HP582" s="8"/>
      <c r="HQ582" s="8"/>
      <c r="HR582" s="8"/>
      <c r="HS582" s="8"/>
      <c r="HT582" s="8"/>
      <c r="HU582" s="8"/>
      <c r="HV582" s="8"/>
      <c r="HW582" s="8"/>
      <c r="HX582" s="8"/>
      <c r="HY582" s="8"/>
      <c r="HZ582" s="8"/>
      <c r="IA582" s="8"/>
      <c r="IB582" s="8"/>
      <c r="IC582" s="8"/>
      <c r="ID582" s="8"/>
    </row>
    <row r="583" spans="5:23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c r="DI583" s="8"/>
      <c r="DJ583" s="8"/>
      <c r="DK583" s="8"/>
      <c r="DL583" s="8"/>
      <c r="DM583" s="8"/>
      <c r="DN583" s="8"/>
      <c r="DO583" s="8"/>
      <c r="DP583" s="8"/>
      <c r="DQ583" s="8"/>
      <c r="DR583" s="8"/>
      <c r="DS583" s="8"/>
      <c r="DT583" s="8"/>
      <c r="DU583" s="8"/>
      <c r="DV583" s="8"/>
      <c r="DW583" s="8"/>
      <c r="DX583" s="8"/>
      <c r="DY583" s="8"/>
      <c r="DZ583" s="8"/>
      <c r="EA583" s="8"/>
      <c r="EB583" s="8"/>
      <c r="EC583" s="8"/>
      <c r="ED583" s="8"/>
      <c r="EE583" s="8"/>
      <c r="EF583" s="8"/>
      <c r="EG583" s="8"/>
      <c r="EH583" s="8"/>
      <c r="EI583" s="8"/>
      <c r="EJ583" s="8"/>
      <c r="EK583" s="8"/>
      <c r="EL583" s="8"/>
      <c r="EM583" s="8"/>
      <c r="EN583" s="8"/>
      <c r="EO583" s="8"/>
      <c r="EP583" s="8"/>
      <c r="EQ583" s="8"/>
      <c r="ER583" s="8"/>
      <c r="ES583" s="8"/>
      <c r="ET583" s="8"/>
      <c r="EU583" s="8"/>
      <c r="EV583" s="8"/>
      <c r="EW583" s="8"/>
      <c r="EX583" s="8"/>
      <c r="EY583" s="8"/>
      <c r="EZ583" s="8"/>
      <c r="FA583" s="8"/>
      <c r="FB583" s="8"/>
      <c r="FC583" s="8"/>
      <c r="FD583" s="8"/>
      <c r="FE583" s="8"/>
      <c r="FF583" s="8"/>
      <c r="FG583" s="8"/>
      <c r="FH583" s="8"/>
      <c r="FI583" s="8"/>
      <c r="FJ583" s="8"/>
      <c r="FK583" s="8"/>
      <c r="FL583" s="8"/>
      <c r="FM583" s="8"/>
      <c r="FN583" s="8"/>
      <c r="FO583" s="8"/>
      <c r="FP583" s="8"/>
      <c r="FQ583" s="8"/>
      <c r="FR583" s="8"/>
      <c r="FS583" s="8"/>
      <c r="FT583" s="8"/>
      <c r="FU583" s="8"/>
      <c r="FV583" s="8"/>
      <c r="FW583" s="8"/>
      <c r="FX583" s="8"/>
      <c r="FY583" s="8"/>
      <c r="FZ583" s="8"/>
      <c r="GA583" s="8"/>
      <c r="GB583" s="8"/>
      <c r="GC583" s="8"/>
      <c r="GD583" s="8"/>
      <c r="GE583" s="8"/>
      <c r="GF583" s="8"/>
      <c r="GG583" s="8"/>
      <c r="GH583" s="8"/>
      <c r="GI583" s="8"/>
      <c r="GJ583" s="8"/>
      <c r="GK583" s="8"/>
      <c r="GL583" s="8"/>
      <c r="GM583" s="8"/>
      <c r="GN583" s="8"/>
      <c r="GO583" s="8"/>
      <c r="GP583" s="8"/>
      <c r="GQ583" s="8"/>
      <c r="GR583" s="8"/>
      <c r="GS583" s="8"/>
      <c r="GT583" s="8"/>
      <c r="GU583" s="8"/>
      <c r="GV583" s="8"/>
      <c r="GW583" s="8"/>
      <c r="GX583" s="8"/>
      <c r="GY583" s="8"/>
      <c r="GZ583" s="8"/>
      <c r="HA583" s="8"/>
      <c r="HB583" s="8"/>
      <c r="HC583" s="8"/>
      <c r="HD583" s="8"/>
      <c r="HE583" s="8"/>
      <c r="HF583" s="8"/>
      <c r="HG583" s="8"/>
      <c r="HH583" s="8"/>
      <c r="HI583" s="8"/>
      <c r="HJ583" s="8"/>
      <c r="HK583" s="8"/>
      <c r="HL583" s="8"/>
      <c r="HM583" s="8"/>
      <c r="HN583" s="8"/>
      <c r="HO583" s="8"/>
      <c r="HP583" s="8"/>
      <c r="HQ583" s="8"/>
      <c r="HR583" s="8"/>
      <c r="HS583" s="8"/>
      <c r="HT583" s="8"/>
      <c r="HU583" s="8"/>
      <c r="HV583" s="8"/>
      <c r="HW583" s="8"/>
      <c r="HX583" s="8"/>
      <c r="HY583" s="8"/>
      <c r="HZ583" s="8"/>
      <c r="IA583" s="8"/>
      <c r="IB583" s="8"/>
      <c r="IC583" s="8"/>
      <c r="ID583" s="8"/>
    </row>
    <row r="584" spans="5:23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8"/>
      <c r="DL584" s="8"/>
      <c r="DM584" s="8"/>
      <c r="DN584" s="8"/>
      <c r="DO584" s="8"/>
      <c r="DP584" s="8"/>
      <c r="DQ584" s="8"/>
      <c r="DR584" s="8"/>
      <c r="DS584" s="8"/>
      <c r="DT584" s="8"/>
      <c r="DU584" s="8"/>
      <c r="DV584" s="8"/>
      <c r="DW584" s="8"/>
      <c r="DX584" s="8"/>
      <c r="DY584" s="8"/>
      <c r="DZ584" s="8"/>
      <c r="EA584" s="8"/>
      <c r="EB584" s="8"/>
      <c r="EC584" s="8"/>
      <c r="ED584" s="8"/>
      <c r="EE584" s="8"/>
      <c r="EF584" s="8"/>
      <c r="EG584" s="8"/>
      <c r="EH584" s="8"/>
      <c r="EI584" s="8"/>
      <c r="EJ584" s="8"/>
      <c r="EK584" s="8"/>
      <c r="EL584" s="8"/>
      <c r="EM584" s="8"/>
      <c r="EN584" s="8"/>
      <c r="EO584" s="8"/>
      <c r="EP584" s="8"/>
      <c r="EQ584" s="8"/>
      <c r="ER584" s="8"/>
      <c r="ES584" s="8"/>
      <c r="ET584" s="8"/>
      <c r="EU584" s="8"/>
      <c r="EV584" s="8"/>
      <c r="EW584" s="8"/>
      <c r="EX584" s="8"/>
      <c r="EY584" s="8"/>
      <c r="EZ584" s="8"/>
      <c r="FA584" s="8"/>
      <c r="FB584" s="8"/>
      <c r="FC584" s="8"/>
      <c r="FD584" s="8"/>
      <c r="FE584" s="8"/>
      <c r="FF584" s="8"/>
      <c r="FG584" s="8"/>
      <c r="FH584" s="8"/>
      <c r="FI584" s="8"/>
      <c r="FJ584" s="8"/>
      <c r="FK584" s="8"/>
      <c r="FL584" s="8"/>
      <c r="FM584" s="8"/>
      <c r="FN584" s="8"/>
      <c r="FO584" s="8"/>
      <c r="FP584" s="8"/>
      <c r="FQ584" s="8"/>
      <c r="FR584" s="8"/>
      <c r="FS584" s="8"/>
      <c r="FT584" s="8"/>
      <c r="FU584" s="8"/>
      <c r="FV584" s="8"/>
      <c r="FW584" s="8"/>
      <c r="FX584" s="8"/>
      <c r="FY584" s="8"/>
      <c r="FZ584" s="8"/>
      <c r="GA584" s="8"/>
      <c r="GB584" s="8"/>
      <c r="GC584" s="8"/>
      <c r="GD584" s="8"/>
      <c r="GE584" s="8"/>
      <c r="GF584" s="8"/>
      <c r="GG584" s="8"/>
      <c r="GH584" s="8"/>
      <c r="GI584" s="8"/>
      <c r="GJ584" s="8"/>
      <c r="GK584" s="8"/>
      <c r="GL584" s="8"/>
      <c r="GM584" s="8"/>
      <c r="GN584" s="8"/>
      <c r="GO584" s="8"/>
      <c r="GP584" s="8"/>
      <c r="GQ584" s="8"/>
      <c r="GR584" s="8"/>
      <c r="GS584" s="8"/>
      <c r="GT584" s="8"/>
      <c r="GU584" s="8"/>
      <c r="GV584" s="8"/>
      <c r="GW584" s="8"/>
      <c r="GX584" s="8"/>
      <c r="GY584" s="8"/>
      <c r="GZ584" s="8"/>
      <c r="HA584" s="8"/>
      <c r="HB584" s="8"/>
      <c r="HC584" s="8"/>
      <c r="HD584" s="8"/>
      <c r="HE584" s="8"/>
      <c r="HF584" s="8"/>
      <c r="HG584" s="8"/>
      <c r="HH584" s="8"/>
      <c r="HI584" s="8"/>
      <c r="HJ584" s="8"/>
      <c r="HK584" s="8"/>
      <c r="HL584" s="8"/>
      <c r="HM584" s="8"/>
      <c r="HN584" s="8"/>
      <c r="HO584" s="8"/>
      <c r="HP584" s="8"/>
      <c r="HQ584" s="8"/>
      <c r="HR584" s="8"/>
      <c r="HS584" s="8"/>
      <c r="HT584" s="8"/>
      <c r="HU584" s="8"/>
      <c r="HV584" s="8"/>
      <c r="HW584" s="8"/>
      <c r="HX584" s="8"/>
      <c r="HY584" s="8"/>
      <c r="HZ584" s="8"/>
      <c r="IA584" s="8"/>
      <c r="IB584" s="8"/>
      <c r="IC584" s="8"/>
      <c r="ID584" s="8"/>
    </row>
    <row r="585" spans="5:23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c r="DI585" s="8"/>
      <c r="DJ585" s="8"/>
      <c r="DK585" s="8"/>
      <c r="DL585" s="8"/>
      <c r="DM585" s="8"/>
      <c r="DN585" s="8"/>
      <c r="DO585" s="8"/>
      <c r="DP585" s="8"/>
      <c r="DQ585" s="8"/>
      <c r="DR585" s="8"/>
      <c r="DS585" s="8"/>
      <c r="DT585" s="8"/>
      <c r="DU585" s="8"/>
      <c r="DV585" s="8"/>
      <c r="DW585" s="8"/>
      <c r="DX585" s="8"/>
      <c r="DY585" s="8"/>
      <c r="DZ585" s="8"/>
      <c r="EA585" s="8"/>
      <c r="EB585" s="8"/>
      <c r="EC585" s="8"/>
      <c r="ED585" s="8"/>
      <c r="EE585" s="8"/>
      <c r="EF585" s="8"/>
      <c r="EG585" s="8"/>
      <c r="EH585" s="8"/>
      <c r="EI585" s="8"/>
      <c r="EJ585" s="8"/>
      <c r="EK585" s="8"/>
      <c r="EL585" s="8"/>
      <c r="EM585" s="8"/>
      <c r="EN585" s="8"/>
      <c r="EO585" s="8"/>
      <c r="EP585" s="8"/>
      <c r="EQ585" s="8"/>
      <c r="ER585" s="8"/>
      <c r="ES585" s="8"/>
      <c r="ET585" s="8"/>
      <c r="EU585" s="8"/>
      <c r="EV585" s="8"/>
      <c r="EW585" s="8"/>
      <c r="EX585" s="8"/>
      <c r="EY585" s="8"/>
      <c r="EZ585" s="8"/>
      <c r="FA585" s="8"/>
      <c r="FB585" s="8"/>
      <c r="FC585" s="8"/>
      <c r="FD585" s="8"/>
      <c r="FE585" s="8"/>
      <c r="FF585" s="8"/>
      <c r="FG585" s="8"/>
      <c r="FH585" s="8"/>
      <c r="FI585" s="8"/>
      <c r="FJ585" s="8"/>
      <c r="FK585" s="8"/>
      <c r="FL585" s="8"/>
      <c r="FM585" s="8"/>
      <c r="FN585" s="8"/>
      <c r="FO585" s="8"/>
      <c r="FP585" s="8"/>
      <c r="FQ585" s="8"/>
      <c r="FR585" s="8"/>
      <c r="FS585" s="8"/>
      <c r="FT585" s="8"/>
      <c r="FU585" s="8"/>
      <c r="FV585" s="8"/>
      <c r="FW585" s="8"/>
      <c r="FX585" s="8"/>
      <c r="FY585" s="8"/>
      <c r="FZ585" s="8"/>
      <c r="GA585" s="8"/>
      <c r="GB585" s="8"/>
      <c r="GC585" s="8"/>
      <c r="GD585" s="8"/>
      <c r="GE585" s="8"/>
      <c r="GF585" s="8"/>
      <c r="GG585" s="8"/>
      <c r="GH585" s="8"/>
      <c r="GI585" s="8"/>
      <c r="GJ585" s="8"/>
      <c r="GK585" s="8"/>
      <c r="GL585" s="8"/>
      <c r="GM585" s="8"/>
      <c r="GN585" s="8"/>
      <c r="GO585" s="8"/>
      <c r="GP585" s="8"/>
      <c r="GQ585" s="8"/>
      <c r="GR585" s="8"/>
      <c r="GS585" s="8"/>
      <c r="GT585" s="8"/>
      <c r="GU585" s="8"/>
      <c r="GV585" s="8"/>
      <c r="GW585" s="8"/>
      <c r="GX585" s="8"/>
      <c r="GY585" s="8"/>
      <c r="GZ585" s="8"/>
      <c r="HA585" s="8"/>
      <c r="HB585" s="8"/>
      <c r="HC585" s="8"/>
      <c r="HD585" s="8"/>
      <c r="HE585" s="8"/>
      <c r="HF585" s="8"/>
      <c r="HG585" s="8"/>
      <c r="HH585" s="8"/>
      <c r="HI585" s="8"/>
      <c r="HJ585" s="8"/>
      <c r="HK585" s="8"/>
      <c r="HL585" s="8"/>
      <c r="HM585" s="8"/>
      <c r="HN585" s="8"/>
      <c r="HO585" s="8"/>
      <c r="HP585" s="8"/>
      <c r="HQ585" s="8"/>
      <c r="HR585" s="8"/>
      <c r="HS585" s="8"/>
      <c r="HT585" s="8"/>
      <c r="HU585" s="8"/>
      <c r="HV585" s="8"/>
      <c r="HW585" s="8"/>
      <c r="HX585" s="8"/>
      <c r="HY585" s="8"/>
      <c r="HZ585" s="8"/>
      <c r="IA585" s="8"/>
      <c r="IB585" s="8"/>
      <c r="IC585" s="8"/>
      <c r="ID585" s="8"/>
    </row>
    <row r="586" spans="5:23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c r="DI586" s="8"/>
      <c r="DJ586" s="8"/>
      <c r="DK586" s="8"/>
      <c r="DL586" s="8"/>
      <c r="DM586" s="8"/>
      <c r="DN586" s="8"/>
      <c r="DO586" s="8"/>
      <c r="DP586" s="8"/>
      <c r="DQ586" s="8"/>
      <c r="DR586" s="8"/>
      <c r="DS586" s="8"/>
      <c r="DT586" s="8"/>
      <c r="DU586" s="8"/>
      <c r="DV586" s="8"/>
      <c r="DW586" s="8"/>
      <c r="DX586" s="8"/>
      <c r="DY586" s="8"/>
      <c r="DZ586" s="8"/>
      <c r="EA586" s="8"/>
      <c r="EB586" s="8"/>
      <c r="EC586" s="8"/>
      <c r="ED586" s="8"/>
      <c r="EE586" s="8"/>
      <c r="EF586" s="8"/>
      <c r="EG586" s="8"/>
      <c r="EH586" s="8"/>
      <c r="EI586" s="8"/>
      <c r="EJ586" s="8"/>
      <c r="EK586" s="8"/>
      <c r="EL586" s="8"/>
      <c r="EM586" s="8"/>
      <c r="EN586" s="8"/>
      <c r="EO586" s="8"/>
      <c r="EP586" s="8"/>
      <c r="EQ586" s="8"/>
      <c r="ER586" s="8"/>
      <c r="ES586" s="8"/>
      <c r="ET586" s="8"/>
      <c r="EU586" s="8"/>
      <c r="EV586" s="8"/>
      <c r="EW586" s="8"/>
      <c r="EX586" s="8"/>
      <c r="EY586" s="8"/>
      <c r="EZ586" s="8"/>
      <c r="FA586" s="8"/>
      <c r="FB586" s="8"/>
      <c r="FC586" s="8"/>
      <c r="FD586" s="8"/>
      <c r="FE586" s="8"/>
      <c r="FF586" s="8"/>
      <c r="FG586" s="8"/>
      <c r="FH586" s="8"/>
      <c r="FI586" s="8"/>
      <c r="FJ586" s="8"/>
      <c r="FK586" s="8"/>
      <c r="FL586" s="8"/>
      <c r="FM586" s="8"/>
      <c r="FN586" s="8"/>
      <c r="FO586" s="8"/>
      <c r="FP586" s="8"/>
      <c r="FQ586" s="8"/>
      <c r="FR586" s="8"/>
      <c r="FS586" s="8"/>
      <c r="FT586" s="8"/>
      <c r="FU586" s="8"/>
      <c r="FV586" s="8"/>
      <c r="FW586" s="8"/>
      <c r="FX586" s="8"/>
      <c r="FY586" s="8"/>
      <c r="FZ586" s="8"/>
      <c r="GA586" s="8"/>
      <c r="GB586" s="8"/>
      <c r="GC586" s="8"/>
      <c r="GD586" s="8"/>
      <c r="GE586" s="8"/>
      <c r="GF586" s="8"/>
      <c r="GG586" s="8"/>
      <c r="GH586" s="8"/>
      <c r="GI586" s="8"/>
      <c r="GJ586" s="8"/>
      <c r="GK586" s="8"/>
      <c r="GL586" s="8"/>
      <c r="GM586" s="8"/>
      <c r="GN586" s="8"/>
      <c r="GO586" s="8"/>
      <c r="GP586" s="8"/>
      <c r="GQ586" s="8"/>
      <c r="GR586" s="8"/>
      <c r="GS586" s="8"/>
      <c r="GT586" s="8"/>
      <c r="GU586" s="8"/>
      <c r="GV586" s="8"/>
      <c r="GW586" s="8"/>
      <c r="GX586" s="8"/>
      <c r="GY586" s="8"/>
      <c r="GZ586" s="8"/>
      <c r="HA586" s="8"/>
      <c r="HB586" s="8"/>
      <c r="HC586" s="8"/>
      <c r="HD586" s="8"/>
      <c r="HE586" s="8"/>
      <c r="HF586" s="8"/>
      <c r="HG586" s="8"/>
      <c r="HH586" s="8"/>
      <c r="HI586" s="8"/>
      <c r="HJ586" s="8"/>
      <c r="HK586" s="8"/>
      <c r="HL586" s="8"/>
      <c r="HM586" s="8"/>
      <c r="HN586" s="8"/>
      <c r="HO586" s="8"/>
      <c r="HP586" s="8"/>
      <c r="HQ586" s="8"/>
      <c r="HR586" s="8"/>
      <c r="HS586" s="8"/>
      <c r="HT586" s="8"/>
      <c r="HU586" s="8"/>
      <c r="HV586" s="8"/>
      <c r="HW586" s="8"/>
      <c r="HX586" s="8"/>
      <c r="HY586" s="8"/>
      <c r="HZ586" s="8"/>
      <c r="IA586" s="8"/>
      <c r="IB586" s="8"/>
      <c r="IC586" s="8"/>
      <c r="ID586" s="8"/>
    </row>
    <row r="587" spans="5:23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c r="DI587" s="8"/>
      <c r="DJ587" s="8"/>
      <c r="DK587" s="8"/>
      <c r="DL587" s="8"/>
      <c r="DM587" s="8"/>
      <c r="DN587" s="8"/>
      <c r="DO587" s="8"/>
      <c r="DP587" s="8"/>
      <c r="DQ587" s="8"/>
      <c r="DR587" s="8"/>
      <c r="DS587" s="8"/>
      <c r="DT587" s="8"/>
      <c r="DU587" s="8"/>
      <c r="DV587" s="8"/>
      <c r="DW587" s="8"/>
      <c r="DX587" s="8"/>
      <c r="DY587" s="8"/>
      <c r="DZ587" s="8"/>
      <c r="EA587" s="8"/>
      <c r="EB587" s="8"/>
      <c r="EC587" s="8"/>
      <c r="ED587" s="8"/>
      <c r="EE587" s="8"/>
      <c r="EF587" s="8"/>
      <c r="EG587" s="8"/>
      <c r="EH587" s="8"/>
      <c r="EI587" s="8"/>
      <c r="EJ587" s="8"/>
      <c r="EK587" s="8"/>
      <c r="EL587" s="8"/>
      <c r="EM587" s="8"/>
      <c r="EN587" s="8"/>
      <c r="EO587" s="8"/>
      <c r="EP587" s="8"/>
      <c r="EQ587" s="8"/>
      <c r="ER587" s="8"/>
      <c r="ES587" s="8"/>
      <c r="ET587" s="8"/>
      <c r="EU587" s="8"/>
      <c r="EV587" s="8"/>
      <c r="EW587" s="8"/>
      <c r="EX587" s="8"/>
      <c r="EY587" s="8"/>
      <c r="EZ587" s="8"/>
      <c r="FA587" s="8"/>
      <c r="FB587" s="8"/>
      <c r="FC587" s="8"/>
      <c r="FD587" s="8"/>
      <c r="FE587" s="8"/>
      <c r="FF587" s="8"/>
      <c r="FG587" s="8"/>
      <c r="FH587" s="8"/>
      <c r="FI587" s="8"/>
      <c r="FJ587" s="8"/>
      <c r="FK587" s="8"/>
      <c r="FL587" s="8"/>
      <c r="FM587" s="8"/>
      <c r="FN587" s="8"/>
      <c r="FO587" s="8"/>
      <c r="FP587" s="8"/>
      <c r="FQ587" s="8"/>
      <c r="FR587" s="8"/>
      <c r="FS587" s="8"/>
      <c r="FT587" s="8"/>
      <c r="FU587" s="8"/>
      <c r="FV587" s="8"/>
      <c r="FW587" s="8"/>
      <c r="FX587" s="8"/>
      <c r="FY587" s="8"/>
      <c r="FZ587" s="8"/>
      <c r="GA587" s="8"/>
      <c r="GB587" s="8"/>
      <c r="GC587" s="8"/>
      <c r="GD587" s="8"/>
      <c r="GE587" s="8"/>
      <c r="GF587" s="8"/>
      <c r="GG587" s="8"/>
      <c r="GH587" s="8"/>
      <c r="GI587" s="8"/>
      <c r="GJ587" s="8"/>
      <c r="GK587" s="8"/>
      <c r="GL587" s="8"/>
      <c r="GM587" s="8"/>
      <c r="GN587" s="8"/>
      <c r="GO587" s="8"/>
      <c r="GP587" s="8"/>
      <c r="GQ587" s="8"/>
      <c r="GR587" s="8"/>
      <c r="GS587" s="8"/>
      <c r="GT587" s="8"/>
      <c r="GU587" s="8"/>
      <c r="GV587" s="8"/>
      <c r="GW587" s="8"/>
      <c r="GX587" s="8"/>
      <c r="GY587" s="8"/>
      <c r="GZ587" s="8"/>
      <c r="HA587" s="8"/>
      <c r="HB587" s="8"/>
      <c r="HC587" s="8"/>
      <c r="HD587" s="8"/>
      <c r="HE587" s="8"/>
      <c r="HF587" s="8"/>
      <c r="HG587" s="8"/>
      <c r="HH587" s="8"/>
      <c r="HI587" s="8"/>
      <c r="HJ587" s="8"/>
      <c r="HK587" s="8"/>
      <c r="HL587" s="8"/>
      <c r="HM587" s="8"/>
      <c r="HN587" s="8"/>
      <c r="HO587" s="8"/>
      <c r="HP587" s="8"/>
      <c r="HQ587" s="8"/>
      <c r="HR587" s="8"/>
      <c r="HS587" s="8"/>
      <c r="HT587" s="8"/>
      <c r="HU587" s="8"/>
      <c r="HV587" s="8"/>
      <c r="HW587" s="8"/>
      <c r="HX587" s="8"/>
      <c r="HY587" s="8"/>
      <c r="HZ587" s="8"/>
      <c r="IA587" s="8"/>
      <c r="IB587" s="8"/>
      <c r="IC587" s="8"/>
      <c r="ID587" s="8"/>
    </row>
    <row r="588" spans="5:23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c r="CG588" s="8"/>
      <c r="CH588" s="8"/>
      <c r="CI588" s="8"/>
      <c r="CJ588" s="8"/>
      <c r="CK588" s="8"/>
      <c r="CL588" s="8"/>
      <c r="CM588" s="8"/>
      <c r="CN588" s="8"/>
      <c r="CO588" s="8"/>
      <c r="CP588" s="8"/>
      <c r="CQ588" s="8"/>
      <c r="CR588" s="8"/>
      <c r="CS588" s="8"/>
      <c r="CT588" s="8"/>
      <c r="CU588" s="8"/>
      <c r="CV588" s="8"/>
      <c r="CW588" s="8"/>
      <c r="CX588" s="8"/>
      <c r="CY588" s="8"/>
      <c r="CZ588" s="8"/>
      <c r="DA588" s="8"/>
      <c r="DB588" s="8"/>
      <c r="DC588" s="8"/>
      <c r="DD588" s="8"/>
      <c r="DE588" s="8"/>
      <c r="DF588" s="8"/>
      <c r="DG588" s="8"/>
      <c r="DH588" s="8"/>
      <c r="DI588" s="8"/>
      <c r="DJ588" s="8"/>
      <c r="DK588" s="8"/>
      <c r="DL588" s="8"/>
      <c r="DM588" s="8"/>
      <c r="DN588" s="8"/>
      <c r="DO588" s="8"/>
      <c r="DP588" s="8"/>
      <c r="DQ588" s="8"/>
      <c r="DR588" s="8"/>
      <c r="DS588" s="8"/>
      <c r="DT588" s="8"/>
      <c r="DU588" s="8"/>
      <c r="DV588" s="8"/>
      <c r="DW588" s="8"/>
      <c r="DX588" s="8"/>
      <c r="DY588" s="8"/>
      <c r="DZ588" s="8"/>
      <c r="EA588" s="8"/>
      <c r="EB588" s="8"/>
      <c r="EC588" s="8"/>
      <c r="ED588" s="8"/>
      <c r="EE588" s="8"/>
      <c r="EF588" s="8"/>
      <c r="EG588" s="8"/>
      <c r="EH588" s="8"/>
      <c r="EI588" s="8"/>
      <c r="EJ588" s="8"/>
      <c r="EK588" s="8"/>
      <c r="EL588" s="8"/>
      <c r="EM588" s="8"/>
      <c r="EN588" s="8"/>
      <c r="EO588" s="8"/>
      <c r="EP588" s="8"/>
      <c r="EQ588" s="8"/>
      <c r="ER588" s="8"/>
      <c r="ES588" s="8"/>
      <c r="ET588" s="8"/>
      <c r="EU588" s="8"/>
      <c r="EV588" s="8"/>
      <c r="EW588" s="8"/>
      <c r="EX588" s="8"/>
      <c r="EY588" s="8"/>
      <c r="EZ588" s="8"/>
      <c r="FA588" s="8"/>
      <c r="FB588" s="8"/>
      <c r="FC588" s="8"/>
      <c r="FD588" s="8"/>
      <c r="FE588" s="8"/>
      <c r="FF588" s="8"/>
      <c r="FG588" s="8"/>
      <c r="FH588" s="8"/>
      <c r="FI588" s="8"/>
      <c r="FJ588" s="8"/>
      <c r="FK588" s="8"/>
      <c r="FL588" s="8"/>
      <c r="FM588" s="8"/>
      <c r="FN588" s="8"/>
      <c r="FO588" s="8"/>
      <c r="FP588" s="8"/>
      <c r="FQ588" s="8"/>
      <c r="FR588" s="8"/>
      <c r="FS588" s="8"/>
      <c r="FT588" s="8"/>
      <c r="FU588" s="8"/>
      <c r="FV588" s="8"/>
      <c r="FW588" s="8"/>
      <c r="FX588" s="8"/>
      <c r="FY588" s="8"/>
      <c r="FZ588" s="8"/>
      <c r="GA588" s="8"/>
      <c r="GB588" s="8"/>
      <c r="GC588" s="8"/>
      <c r="GD588" s="8"/>
      <c r="GE588" s="8"/>
      <c r="GF588" s="8"/>
      <c r="GG588" s="8"/>
      <c r="GH588" s="8"/>
      <c r="GI588" s="8"/>
      <c r="GJ588" s="8"/>
      <c r="GK588" s="8"/>
      <c r="GL588" s="8"/>
      <c r="GM588" s="8"/>
      <c r="GN588" s="8"/>
      <c r="GO588" s="8"/>
      <c r="GP588" s="8"/>
      <c r="GQ588" s="8"/>
      <c r="GR588" s="8"/>
      <c r="GS588" s="8"/>
      <c r="GT588" s="8"/>
      <c r="GU588" s="8"/>
      <c r="GV588" s="8"/>
      <c r="GW588" s="8"/>
      <c r="GX588" s="8"/>
      <c r="GY588" s="8"/>
      <c r="GZ588" s="8"/>
      <c r="HA588" s="8"/>
      <c r="HB588" s="8"/>
      <c r="HC588" s="8"/>
      <c r="HD588" s="8"/>
      <c r="HE588" s="8"/>
      <c r="HF588" s="8"/>
      <c r="HG588" s="8"/>
      <c r="HH588" s="8"/>
      <c r="HI588" s="8"/>
      <c r="HJ588" s="8"/>
      <c r="HK588" s="8"/>
      <c r="HL588" s="8"/>
      <c r="HM588" s="8"/>
      <c r="HN588" s="8"/>
      <c r="HO588" s="8"/>
      <c r="HP588" s="8"/>
      <c r="HQ588" s="8"/>
      <c r="HR588" s="8"/>
      <c r="HS588" s="8"/>
      <c r="HT588" s="8"/>
      <c r="HU588" s="8"/>
      <c r="HV588" s="8"/>
      <c r="HW588" s="8"/>
      <c r="HX588" s="8"/>
      <c r="HY588" s="8"/>
      <c r="HZ588" s="8"/>
      <c r="IA588" s="8"/>
      <c r="IB588" s="8"/>
      <c r="IC588" s="8"/>
      <c r="ID588" s="8"/>
    </row>
    <row r="589" spans="5:23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c r="DI589" s="8"/>
      <c r="DJ589" s="8"/>
      <c r="DK589" s="8"/>
      <c r="DL589" s="8"/>
      <c r="DM589" s="8"/>
      <c r="DN589" s="8"/>
      <c r="DO589" s="8"/>
      <c r="DP589" s="8"/>
      <c r="DQ589" s="8"/>
      <c r="DR589" s="8"/>
      <c r="DS589" s="8"/>
      <c r="DT589" s="8"/>
      <c r="DU589" s="8"/>
      <c r="DV589" s="8"/>
      <c r="DW589" s="8"/>
      <c r="DX589" s="8"/>
      <c r="DY589" s="8"/>
      <c r="DZ589" s="8"/>
      <c r="EA589" s="8"/>
      <c r="EB589" s="8"/>
      <c r="EC589" s="8"/>
      <c r="ED589" s="8"/>
      <c r="EE589" s="8"/>
      <c r="EF589" s="8"/>
      <c r="EG589" s="8"/>
      <c r="EH589" s="8"/>
      <c r="EI589" s="8"/>
      <c r="EJ589" s="8"/>
      <c r="EK589" s="8"/>
      <c r="EL589" s="8"/>
      <c r="EM589" s="8"/>
      <c r="EN589" s="8"/>
      <c r="EO589" s="8"/>
      <c r="EP589" s="8"/>
      <c r="EQ589" s="8"/>
      <c r="ER589" s="8"/>
      <c r="ES589" s="8"/>
      <c r="ET589" s="8"/>
      <c r="EU589" s="8"/>
      <c r="EV589" s="8"/>
      <c r="EW589" s="8"/>
      <c r="EX589" s="8"/>
      <c r="EY589" s="8"/>
      <c r="EZ589" s="8"/>
      <c r="FA589" s="8"/>
      <c r="FB589" s="8"/>
      <c r="FC589" s="8"/>
      <c r="FD589" s="8"/>
      <c r="FE589" s="8"/>
      <c r="FF589" s="8"/>
      <c r="FG589" s="8"/>
      <c r="FH589" s="8"/>
      <c r="FI589" s="8"/>
      <c r="FJ589" s="8"/>
      <c r="FK589" s="8"/>
      <c r="FL589" s="8"/>
      <c r="FM589" s="8"/>
      <c r="FN589" s="8"/>
      <c r="FO589" s="8"/>
      <c r="FP589" s="8"/>
      <c r="FQ589" s="8"/>
      <c r="FR589" s="8"/>
      <c r="FS589" s="8"/>
      <c r="FT589" s="8"/>
      <c r="FU589" s="8"/>
      <c r="FV589" s="8"/>
      <c r="FW589" s="8"/>
      <c r="FX589" s="8"/>
      <c r="FY589" s="8"/>
      <c r="FZ589" s="8"/>
      <c r="GA589" s="8"/>
      <c r="GB589" s="8"/>
      <c r="GC589" s="8"/>
      <c r="GD589" s="8"/>
      <c r="GE589" s="8"/>
      <c r="GF589" s="8"/>
      <c r="GG589" s="8"/>
      <c r="GH589" s="8"/>
      <c r="GI589" s="8"/>
      <c r="GJ589" s="8"/>
      <c r="GK589" s="8"/>
      <c r="GL589" s="8"/>
      <c r="GM589" s="8"/>
      <c r="GN589" s="8"/>
      <c r="GO589" s="8"/>
      <c r="GP589" s="8"/>
      <c r="GQ589" s="8"/>
      <c r="GR589" s="8"/>
      <c r="GS589" s="8"/>
      <c r="GT589" s="8"/>
      <c r="GU589" s="8"/>
      <c r="GV589" s="8"/>
      <c r="GW589" s="8"/>
      <c r="GX589" s="8"/>
      <c r="GY589" s="8"/>
      <c r="GZ589" s="8"/>
      <c r="HA589" s="8"/>
      <c r="HB589" s="8"/>
      <c r="HC589" s="8"/>
      <c r="HD589" s="8"/>
      <c r="HE589" s="8"/>
      <c r="HF589" s="8"/>
      <c r="HG589" s="8"/>
      <c r="HH589" s="8"/>
      <c r="HI589" s="8"/>
      <c r="HJ589" s="8"/>
      <c r="HK589" s="8"/>
      <c r="HL589" s="8"/>
      <c r="HM589" s="8"/>
      <c r="HN589" s="8"/>
      <c r="HO589" s="8"/>
      <c r="HP589" s="8"/>
      <c r="HQ589" s="8"/>
      <c r="HR589" s="8"/>
      <c r="HS589" s="8"/>
      <c r="HT589" s="8"/>
      <c r="HU589" s="8"/>
      <c r="HV589" s="8"/>
      <c r="HW589" s="8"/>
      <c r="HX589" s="8"/>
      <c r="HY589" s="8"/>
      <c r="HZ589" s="8"/>
      <c r="IA589" s="8"/>
      <c r="IB589" s="8"/>
      <c r="IC589" s="8"/>
      <c r="ID589" s="8"/>
    </row>
    <row r="590" spans="5:23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c r="CB590" s="8"/>
      <c r="CC590" s="8"/>
      <c r="CD590" s="8"/>
      <c r="CE590" s="8"/>
      <c r="CF590" s="8"/>
      <c r="CG590" s="8"/>
      <c r="CH590" s="8"/>
      <c r="CI590" s="8"/>
      <c r="CJ590" s="8"/>
      <c r="CK590" s="8"/>
      <c r="CL590" s="8"/>
      <c r="CM590" s="8"/>
      <c r="CN590" s="8"/>
      <c r="CO590" s="8"/>
      <c r="CP590" s="8"/>
      <c r="CQ590" s="8"/>
      <c r="CR590" s="8"/>
      <c r="CS590" s="8"/>
      <c r="CT590" s="8"/>
      <c r="CU590" s="8"/>
      <c r="CV590" s="8"/>
      <c r="CW590" s="8"/>
      <c r="CX590" s="8"/>
      <c r="CY590" s="8"/>
      <c r="CZ590" s="8"/>
      <c r="DA590" s="8"/>
      <c r="DB590" s="8"/>
      <c r="DC590" s="8"/>
      <c r="DD590" s="8"/>
      <c r="DE590" s="8"/>
      <c r="DF590" s="8"/>
      <c r="DG590" s="8"/>
      <c r="DH590" s="8"/>
      <c r="DI590" s="8"/>
      <c r="DJ590" s="8"/>
      <c r="DK590" s="8"/>
      <c r="DL590" s="8"/>
      <c r="DM590" s="8"/>
      <c r="DN590" s="8"/>
      <c r="DO590" s="8"/>
      <c r="DP590" s="8"/>
      <c r="DQ590" s="8"/>
      <c r="DR590" s="8"/>
      <c r="DS590" s="8"/>
      <c r="DT590" s="8"/>
      <c r="DU590" s="8"/>
      <c r="DV590" s="8"/>
      <c r="DW590" s="8"/>
      <c r="DX590" s="8"/>
      <c r="DY590" s="8"/>
      <c r="DZ590" s="8"/>
      <c r="EA590" s="8"/>
      <c r="EB590" s="8"/>
      <c r="EC590" s="8"/>
      <c r="ED590" s="8"/>
      <c r="EE590" s="8"/>
      <c r="EF590" s="8"/>
      <c r="EG590" s="8"/>
      <c r="EH590" s="8"/>
      <c r="EI590" s="8"/>
      <c r="EJ590" s="8"/>
      <c r="EK590" s="8"/>
      <c r="EL590" s="8"/>
      <c r="EM590" s="8"/>
      <c r="EN590" s="8"/>
      <c r="EO590" s="8"/>
      <c r="EP590" s="8"/>
      <c r="EQ590" s="8"/>
      <c r="ER590" s="8"/>
      <c r="ES590" s="8"/>
      <c r="ET590" s="8"/>
      <c r="EU590" s="8"/>
      <c r="EV590" s="8"/>
      <c r="EW590" s="8"/>
      <c r="EX590" s="8"/>
      <c r="EY590" s="8"/>
      <c r="EZ590" s="8"/>
      <c r="FA590" s="8"/>
      <c r="FB590" s="8"/>
      <c r="FC590" s="8"/>
      <c r="FD590" s="8"/>
      <c r="FE590" s="8"/>
      <c r="FF590" s="8"/>
      <c r="FG590" s="8"/>
      <c r="FH590" s="8"/>
      <c r="FI590" s="8"/>
      <c r="FJ590" s="8"/>
      <c r="FK590" s="8"/>
      <c r="FL590" s="8"/>
      <c r="FM590" s="8"/>
      <c r="FN590" s="8"/>
      <c r="FO590" s="8"/>
      <c r="FP590" s="8"/>
      <c r="FQ590" s="8"/>
      <c r="FR590" s="8"/>
      <c r="FS590" s="8"/>
      <c r="FT590" s="8"/>
      <c r="FU590" s="8"/>
      <c r="FV590" s="8"/>
      <c r="FW590" s="8"/>
      <c r="FX590" s="8"/>
      <c r="FY590" s="8"/>
      <c r="FZ590" s="8"/>
      <c r="GA590" s="8"/>
      <c r="GB590" s="8"/>
      <c r="GC590" s="8"/>
      <c r="GD590" s="8"/>
      <c r="GE590" s="8"/>
      <c r="GF590" s="8"/>
      <c r="GG590" s="8"/>
      <c r="GH590" s="8"/>
      <c r="GI590" s="8"/>
      <c r="GJ590" s="8"/>
      <c r="GK590" s="8"/>
      <c r="GL590" s="8"/>
      <c r="GM590" s="8"/>
      <c r="GN590" s="8"/>
      <c r="GO590" s="8"/>
      <c r="GP590" s="8"/>
      <c r="GQ590" s="8"/>
      <c r="GR590" s="8"/>
      <c r="GS590" s="8"/>
      <c r="GT590" s="8"/>
      <c r="GU590" s="8"/>
      <c r="GV590" s="8"/>
      <c r="GW590" s="8"/>
      <c r="GX590" s="8"/>
      <c r="GY590" s="8"/>
      <c r="GZ590" s="8"/>
      <c r="HA590" s="8"/>
      <c r="HB590" s="8"/>
      <c r="HC590" s="8"/>
      <c r="HD590" s="8"/>
      <c r="HE590" s="8"/>
      <c r="HF590" s="8"/>
      <c r="HG590" s="8"/>
      <c r="HH590" s="8"/>
      <c r="HI590" s="8"/>
      <c r="HJ590" s="8"/>
      <c r="HK590" s="8"/>
      <c r="HL590" s="8"/>
      <c r="HM590" s="8"/>
      <c r="HN590" s="8"/>
      <c r="HO590" s="8"/>
      <c r="HP590" s="8"/>
      <c r="HQ590" s="8"/>
      <c r="HR590" s="8"/>
      <c r="HS590" s="8"/>
      <c r="HT590" s="8"/>
      <c r="HU590" s="8"/>
      <c r="HV590" s="8"/>
      <c r="HW590" s="8"/>
      <c r="HX590" s="8"/>
      <c r="HY590" s="8"/>
      <c r="HZ590" s="8"/>
      <c r="IA590" s="8"/>
      <c r="IB590" s="8"/>
      <c r="IC590" s="8"/>
      <c r="ID590" s="8"/>
    </row>
    <row r="591" spans="5:23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c r="DI591" s="8"/>
      <c r="DJ591" s="8"/>
      <c r="DK591" s="8"/>
      <c r="DL591" s="8"/>
      <c r="DM591" s="8"/>
      <c r="DN591" s="8"/>
      <c r="DO591" s="8"/>
      <c r="DP591" s="8"/>
      <c r="DQ591" s="8"/>
      <c r="DR591" s="8"/>
      <c r="DS591" s="8"/>
      <c r="DT591" s="8"/>
      <c r="DU591" s="8"/>
      <c r="DV591" s="8"/>
      <c r="DW591" s="8"/>
      <c r="DX591" s="8"/>
      <c r="DY591" s="8"/>
      <c r="DZ591" s="8"/>
      <c r="EA591" s="8"/>
      <c r="EB591" s="8"/>
      <c r="EC591" s="8"/>
      <c r="ED591" s="8"/>
      <c r="EE591" s="8"/>
      <c r="EF591" s="8"/>
      <c r="EG591" s="8"/>
      <c r="EH591" s="8"/>
      <c r="EI591" s="8"/>
      <c r="EJ591" s="8"/>
      <c r="EK591" s="8"/>
      <c r="EL591" s="8"/>
      <c r="EM591" s="8"/>
      <c r="EN591" s="8"/>
      <c r="EO591" s="8"/>
      <c r="EP591" s="8"/>
      <c r="EQ591" s="8"/>
      <c r="ER591" s="8"/>
      <c r="ES591" s="8"/>
      <c r="ET591" s="8"/>
      <c r="EU591" s="8"/>
      <c r="EV591" s="8"/>
      <c r="EW591" s="8"/>
      <c r="EX591" s="8"/>
      <c r="EY591" s="8"/>
      <c r="EZ591" s="8"/>
      <c r="FA591" s="8"/>
      <c r="FB591" s="8"/>
      <c r="FC591" s="8"/>
      <c r="FD591" s="8"/>
      <c r="FE591" s="8"/>
      <c r="FF591" s="8"/>
      <c r="FG591" s="8"/>
      <c r="FH591" s="8"/>
      <c r="FI591" s="8"/>
      <c r="FJ591" s="8"/>
      <c r="FK591" s="8"/>
      <c r="FL591" s="8"/>
      <c r="FM591" s="8"/>
      <c r="FN591" s="8"/>
      <c r="FO591" s="8"/>
      <c r="FP591" s="8"/>
      <c r="FQ591" s="8"/>
      <c r="FR591" s="8"/>
      <c r="FS591" s="8"/>
      <c r="FT591" s="8"/>
      <c r="FU591" s="8"/>
      <c r="FV591" s="8"/>
      <c r="FW591" s="8"/>
      <c r="FX591" s="8"/>
      <c r="FY591" s="8"/>
      <c r="FZ591" s="8"/>
      <c r="GA591" s="8"/>
      <c r="GB591" s="8"/>
      <c r="GC591" s="8"/>
      <c r="GD591" s="8"/>
      <c r="GE591" s="8"/>
      <c r="GF591" s="8"/>
      <c r="GG591" s="8"/>
      <c r="GH591" s="8"/>
      <c r="GI591" s="8"/>
      <c r="GJ591" s="8"/>
      <c r="GK591" s="8"/>
      <c r="GL591" s="8"/>
      <c r="GM591" s="8"/>
      <c r="GN591" s="8"/>
      <c r="GO591" s="8"/>
      <c r="GP591" s="8"/>
      <c r="GQ591" s="8"/>
      <c r="GR591" s="8"/>
      <c r="GS591" s="8"/>
      <c r="GT591" s="8"/>
      <c r="GU591" s="8"/>
      <c r="GV591" s="8"/>
      <c r="GW591" s="8"/>
      <c r="GX591" s="8"/>
      <c r="GY591" s="8"/>
      <c r="GZ591" s="8"/>
      <c r="HA591" s="8"/>
      <c r="HB591" s="8"/>
      <c r="HC591" s="8"/>
      <c r="HD591" s="8"/>
      <c r="HE591" s="8"/>
      <c r="HF591" s="8"/>
      <c r="HG591" s="8"/>
      <c r="HH591" s="8"/>
      <c r="HI591" s="8"/>
      <c r="HJ591" s="8"/>
      <c r="HK591" s="8"/>
      <c r="HL591" s="8"/>
      <c r="HM591" s="8"/>
      <c r="HN591" s="8"/>
      <c r="HO591" s="8"/>
      <c r="HP591" s="8"/>
      <c r="HQ591" s="8"/>
      <c r="HR591" s="8"/>
      <c r="HS591" s="8"/>
      <c r="HT591" s="8"/>
      <c r="HU591" s="8"/>
      <c r="HV591" s="8"/>
      <c r="HW591" s="8"/>
      <c r="HX591" s="8"/>
      <c r="HY591" s="8"/>
      <c r="HZ591" s="8"/>
      <c r="IA591" s="8"/>
      <c r="IB591" s="8"/>
      <c r="IC591" s="8"/>
      <c r="ID591" s="8"/>
    </row>
    <row r="592" spans="5:23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8"/>
      <c r="CH592" s="8"/>
      <c r="CI592" s="8"/>
      <c r="CJ592" s="8"/>
      <c r="CK592" s="8"/>
      <c r="CL592" s="8"/>
      <c r="CM592" s="8"/>
      <c r="CN592" s="8"/>
      <c r="CO592" s="8"/>
      <c r="CP592" s="8"/>
      <c r="CQ592" s="8"/>
      <c r="CR592" s="8"/>
      <c r="CS592" s="8"/>
      <c r="CT592" s="8"/>
      <c r="CU592" s="8"/>
      <c r="CV592" s="8"/>
      <c r="CW592" s="8"/>
      <c r="CX592" s="8"/>
      <c r="CY592" s="8"/>
      <c r="CZ592" s="8"/>
      <c r="DA592" s="8"/>
      <c r="DB592" s="8"/>
      <c r="DC592" s="8"/>
      <c r="DD592" s="8"/>
      <c r="DE592" s="8"/>
      <c r="DF592" s="8"/>
      <c r="DG592" s="8"/>
      <c r="DH592" s="8"/>
      <c r="DI592" s="8"/>
      <c r="DJ592" s="8"/>
      <c r="DK592" s="8"/>
      <c r="DL592" s="8"/>
      <c r="DM592" s="8"/>
      <c r="DN592" s="8"/>
      <c r="DO592" s="8"/>
      <c r="DP592" s="8"/>
      <c r="DQ592" s="8"/>
      <c r="DR592" s="8"/>
      <c r="DS592" s="8"/>
      <c r="DT592" s="8"/>
      <c r="DU592" s="8"/>
      <c r="DV592" s="8"/>
      <c r="DW592" s="8"/>
      <c r="DX592" s="8"/>
      <c r="DY592" s="8"/>
      <c r="DZ592" s="8"/>
      <c r="EA592" s="8"/>
      <c r="EB592" s="8"/>
      <c r="EC592" s="8"/>
      <c r="ED592" s="8"/>
      <c r="EE592" s="8"/>
      <c r="EF592" s="8"/>
      <c r="EG592" s="8"/>
      <c r="EH592" s="8"/>
      <c r="EI592" s="8"/>
      <c r="EJ592" s="8"/>
      <c r="EK592" s="8"/>
      <c r="EL592" s="8"/>
      <c r="EM592" s="8"/>
      <c r="EN592" s="8"/>
      <c r="EO592" s="8"/>
      <c r="EP592" s="8"/>
      <c r="EQ592" s="8"/>
      <c r="ER592" s="8"/>
      <c r="ES592" s="8"/>
      <c r="ET592" s="8"/>
      <c r="EU592" s="8"/>
      <c r="EV592" s="8"/>
      <c r="EW592" s="8"/>
      <c r="EX592" s="8"/>
      <c r="EY592" s="8"/>
      <c r="EZ592" s="8"/>
      <c r="FA592" s="8"/>
      <c r="FB592" s="8"/>
      <c r="FC592" s="8"/>
      <c r="FD592" s="8"/>
      <c r="FE592" s="8"/>
      <c r="FF592" s="8"/>
      <c r="FG592" s="8"/>
      <c r="FH592" s="8"/>
      <c r="FI592" s="8"/>
      <c r="FJ592" s="8"/>
      <c r="FK592" s="8"/>
      <c r="FL592" s="8"/>
      <c r="FM592" s="8"/>
      <c r="FN592" s="8"/>
      <c r="FO592" s="8"/>
      <c r="FP592" s="8"/>
      <c r="FQ592" s="8"/>
      <c r="FR592" s="8"/>
      <c r="FS592" s="8"/>
      <c r="FT592" s="8"/>
      <c r="FU592" s="8"/>
      <c r="FV592" s="8"/>
      <c r="FW592" s="8"/>
      <c r="FX592" s="8"/>
      <c r="FY592" s="8"/>
      <c r="FZ592" s="8"/>
      <c r="GA592" s="8"/>
      <c r="GB592" s="8"/>
      <c r="GC592" s="8"/>
      <c r="GD592" s="8"/>
      <c r="GE592" s="8"/>
      <c r="GF592" s="8"/>
      <c r="GG592" s="8"/>
      <c r="GH592" s="8"/>
      <c r="GI592" s="8"/>
      <c r="GJ592" s="8"/>
      <c r="GK592" s="8"/>
      <c r="GL592" s="8"/>
      <c r="GM592" s="8"/>
      <c r="GN592" s="8"/>
      <c r="GO592" s="8"/>
      <c r="GP592" s="8"/>
      <c r="GQ592" s="8"/>
      <c r="GR592" s="8"/>
      <c r="GS592" s="8"/>
      <c r="GT592" s="8"/>
      <c r="GU592" s="8"/>
      <c r="GV592" s="8"/>
      <c r="GW592" s="8"/>
      <c r="GX592" s="8"/>
      <c r="GY592" s="8"/>
      <c r="GZ592" s="8"/>
      <c r="HA592" s="8"/>
      <c r="HB592" s="8"/>
      <c r="HC592" s="8"/>
      <c r="HD592" s="8"/>
      <c r="HE592" s="8"/>
      <c r="HF592" s="8"/>
      <c r="HG592" s="8"/>
      <c r="HH592" s="8"/>
      <c r="HI592" s="8"/>
      <c r="HJ592" s="8"/>
      <c r="HK592" s="8"/>
      <c r="HL592" s="8"/>
      <c r="HM592" s="8"/>
      <c r="HN592" s="8"/>
      <c r="HO592" s="8"/>
      <c r="HP592" s="8"/>
      <c r="HQ592" s="8"/>
      <c r="HR592" s="8"/>
      <c r="HS592" s="8"/>
      <c r="HT592" s="8"/>
      <c r="HU592" s="8"/>
      <c r="HV592" s="8"/>
      <c r="HW592" s="8"/>
      <c r="HX592" s="8"/>
      <c r="HY592" s="8"/>
      <c r="HZ592" s="8"/>
      <c r="IA592" s="8"/>
      <c r="IB592" s="8"/>
      <c r="IC592" s="8"/>
      <c r="ID592" s="8"/>
    </row>
    <row r="593" spans="5:23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c r="DI593" s="8"/>
      <c r="DJ593" s="8"/>
      <c r="DK593" s="8"/>
      <c r="DL593" s="8"/>
      <c r="DM593" s="8"/>
      <c r="DN593" s="8"/>
      <c r="DO593" s="8"/>
      <c r="DP593" s="8"/>
      <c r="DQ593" s="8"/>
      <c r="DR593" s="8"/>
      <c r="DS593" s="8"/>
      <c r="DT593" s="8"/>
      <c r="DU593" s="8"/>
      <c r="DV593" s="8"/>
      <c r="DW593" s="8"/>
      <c r="DX593" s="8"/>
      <c r="DY593" s="8"/>
      <c r="DZ593" s="8"/>
      <c r="EA593" s="8"/>
      <c r="EB593" s="8"/>
      <c r="EC593" s="8"/>
      <c r="ED593" s="8"/>
      <c r="EE593" s="8"/>
      <c r="EF593" s="8"/>
      <c r="EG593" s="8"/>
      <c r="EH593" s="8"/>
      <c r="EI593" s="8"/>
      <c r="EJ593" s="8"/>
      <c r="EK593" s="8"/>
      <c r="EL593" s="8"/>
      <c r="EM593" s="8"/>
      <c r="EN593" s="8"/>
      <c r="EO593" s="8"/>
      <c r="EP593" s="8"/>
      <c r="EQ593" s="8"/>
      <c r="ER593" s="8"/>
      <c r="ES593" s="8"/>
      <c r="ET593" s="8"/>
      <c r="EU593" s="8"/>
      <c r="EV593" s="8"/>
      <c r="EW593" s="8"/>
      <c r="EX593" s="8"/>
      <c r="EY593" s="8"/>
      <c r="EZ593" s="8"/>
      <c r="FA593" s="8"/>
      <c r="FB593" s="8"/>
      <c r="FC593" s="8"/>
      <c r="FD593" s="8"/>
      <c r="FE593" s="8"/>
      <c r="FF593" s="8"/>
      <c r="FG593" s="8"/>
      <c r="FH593" s="8"/>
      <c r="FI593" s="8"/>
      <c r="FJ593" s="8"/>
      <c r="FK593" s="8"/>
      <c r="FL593" s="8"/>
      <c r="FM593" s="8"/>
      <c r="FN593" s="8"/>
      <c r="FO593" s="8"/>
      <c r="FP593" s="8"/>
      <c r="FQ593" s="8"/>
      <c r="FR593" s="8"/>
      <c r="FS593" s="8"/>
      <c r="FT593" s="8"/>
      <c r="FU593" s="8"/>
      <c r="FV593" s="8"/>
      <c r="FW593" s="8"/>
      <c r="FX593" s="8"/>
      <c r="FY593" s="8"/>
      <c r="FZ593" s="8"/>
      <c r="GA593" s="8"/>
      <c r="GB593" s="8"/>
      <c r="GC593" s="8"/>
      <c r="GD593" s="8"/>
      <c r="GE593" s="8"/>
      <c r="GF593" s="8"/>
      <c r="GG593" s="8"/>
      <c r="GH593" s="8"/>
      <c r="GI593" s="8"/>
      <c r="GJ593" s="8"/>
      <c r="GK593" s="8"/>
      <c r="GL593" s="8"/>
      <c r="GM593" s="8"/>
      <c r="GN593" s="8"/>
      <c r="GO593" s="8"/>
      <c r="GP593" s="8"/>
      <c r="GQ593" s="8"/>
      <c r="GR593" s="8"/>
      <c r="GS593" s="8"/>
      <c r="GT593" s="8"/>
      <c r="GU593" s="8"/>
      <c r="GV593" s="8"/>
      <c r="GW593" s="8"/>
      <c r="GX593" s="8"/>
      <c r="GY593" s="8"/>
      <c r="GZ593" s="8"/>
      <c r="HA593" s="8"/>
      <c r="HB593" s="8"/>
      <c r="HC593" s="8"/>
      <c r="HD593" s="8"/>
      <c r="HE593" s="8"/>
      <c r="HF593" s="8"/>
      <c r="HG593" s="8"/>
      <c r="HH593" s="8"/>
      <c r="HI593" s="8"/>
      <c r="HJ593" s="8"/>
      <c r="HK593" s="8"/>
      <c r="HL593" s="8"/>
      <c r="HM593" s="8"/>
      <c r="HN593" s="8"/>
      <c r="HO593" s="8"/>
      <c r="HP593" s="8"/>
      <c r="HQ593" s="8"/>
      <c r="HR593" s="8"/>
      <c r="HS593" s="8"/>
      <c r="HT593" s="8"/>
      <c r="HU593" s="8"/>
      <c r="HV593" s="8"/>
      <c r="HW593" s="8"/>
      <c r="HX593" s="8"/>
      <c r="HY593" s="8"/>
      <c r="HZ593" s="8"/>
      <c r="IA593" s="8"/>
      <c r="IB593" s="8"/>
      <c r="IC593" s="8"/>
      <c r="ID593" s="8"/>
    </row>
    <row r="594" spans="5:23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c r="CW594" s="8"/>
      <c r="CX594" s="8"/>
      <c r="CY594" s="8"/>
      <c r="CZ594" s="8"/>
      <c r="DA594" s="8"/>
      <c r="DB594" s="8"/>
      <c r="DC594" s="8"/>
      <c r="DD594" s="8"/>
      <c r="DE594" s="8"/>
      <c r="DF594" s="8"/>
      <c r="DG594" s="8"/>
      <c r="DH594" s="8"/>
      <c r="DI594" s="8"/>
      <c r="DJ594" s="8"/>
      <c r="DK594" s="8"/>
      <c r="DL594" s="8"/>
      <c r="DM594" s="8"/>
      <c r="DN594" s="8"/>
      <c r="DO594" s="8"/>
      <c r="DP594" s="8"/>
      <c r="DQ594" s="8"/>
      <c r="DR594" s="8"/>
      <c r="DS594" s="8"/>
      <c r="DT594" s="8"/>
      <c r="DU594" s="8"/>
      <c r="DV594" s="8"/>
      <c r="DW594" s="8"/>
      <c r="DX594" s="8"/>
      <c r="DY594" s="8"/>
      <c r="DZ594" s="8"/>
      <c r="EA594" s="8"/>
      <c r="EB594" s="8"/>
      <c r="EC594" s="8"/>
      <c r="ED594" s="8"/>
      <c r="EE594" s="8"/>
      <c r="EF594" s="8"/>
      <c r="EG594" s="8"/>
      <c r="EH594" s="8"/>
      <c r="EI594" s="8"/>
      <c r="EJ594" s="8"/>
      <c r="EK594" s="8"/>
      <c r="EL594" s="8"/>
      <c r="EM594" s="8"/>
      <c r="EN594" s="8"/>
      <c r="EO594" s="8"/>
      <c r="EP594" s="8"/>
      <c r="EQ594" s="8"/>
      <c r="ER594" s="8"/>
      <c r="ES594" s="8"/>
      <c r="ET594" s="8"/>
      <c r="EU594" s="8"/>
      <c r="EV594" s="8"/>
      <c r="EW594" s="8"/>
      <c r="EX594" s="8"/>
      <c r="EY594" s="8"/>
      <c r="EZ594" s="8"/>
      <c r="FA594" s="8"/>
      <c r="FB594" s="8"/>
      <c r="FC594" s="8"/>
      <c r="FD594" s="8"/>
      <c r="FE594" s="8"/>
      <c r="FF594" s="8"/>
      <c r="FG594" s="8"/>
      <c r="FH594" s="8"/>
      <c r="FI594" s="8"/>
      <c r="FJ594" s="8"/>
      <c r="FK594" s="8"/>
      <c r="FL594" s="8"/>
      <c r="FM594" s="8"/>
      <c r="FN594" s="8"/>
      <c r="FO594" s="8"/>
      <c r="FP594" s="8"/>
      <c r="FQ594" s="8"/>
      <c r="FR594" s="8"/>
      <c r="FS594" s="8"/>
      <c r="FT594" s="8"/>
      <c r="FU594" s="8"/>
      <c r="FV594" s="8"/>
      <c r="FW594" s="8"/>
      <c r="FX594" s="8"/>
      <c r="FY594" s="8"/>
      <c r="FZ594" s="8"/>
      <c r="GA594" s="8"/>
      <c r="GB594" s="8"/>
      <c r="GC594" s="8"/>
      <c r="GD594" s="8"/>
      <c r="GE594" s="8"/>
      <c r="GF594" s="8"/>
      <c r="GG594" s="8"/>
      <c r="GH594" s="8"/>
      <c r="GI594" s="8"/>
      <c r="GJ594" s="8"/>
      <c r="GK594" s="8"/>
      <c r="GL594" s="8"/>
      <c r="GM594" s="8"/>
      <c r="GN594" s="8"/>
      <c r="GO594" s="8"/>
      <c r="GP594" s="8"/>
      <c r="GQ594" s="8"/>
      <c r="GR594" s="8"/>
      <c r="GS594" s="8"/>
      <c r="GT594" s="8"/>
      <c r="GU594" s="8"/>
      <c r="GV594" s="8"/>
      <c r="GW594" s="8"/>
      <c r="GX594" s="8"/>
      <c r="GY594" s="8"/>
      <c r="GZ594" s="8"/>
      <c r="HA594" s="8"/>
      <c r="HB594" s="8"/>
      <c r="HC594" s="8"/>
      <c r="HD594" s="8"/>
      <c r="HE594" s="8"/>
      <c r="HF594" s="8"/>
      <c r="HG594" s="8"/>
      <c r="HH594" s="8"/>
      <c r="HI594" s="8"/>
      <c r="HJ594" s="8"/>
      <c r="HK594" s="8"/>
      <c r="HL594" s="8"/>
      <c r="HM594" s="8"/>
      <c r="HN594" s="8"/>
      <c r="HO594" s="8"/>
      <c r="HP594" s="8"/>
      <c r="HQ594" s="8"/>
      <c r="HR594" s="8"/>
      <c r="HS594" s="8"/>
      <c r="HT594" s="8"/>
      <c r="HU594" s="8"/>
      <c r="HV594" s="8"/>
      <c r="HW594" s="8"/>
      <c r="HX594" s="8"/>
      <c r="HY594" s="8"/>
      <c r="HZ594" s="8"/>
      <c r="IA594" s="8"/>
      <c r="IB594" s="8"/>
      <c r="IC594" s="8"/>
      <c r="ID594" s="8"/>
    </row>
    <row r="595" spans="5:23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c r="CB595" s="8"/>
      <c r="CC595" s="8"/>
      <c r="CD595" s="8"/>
      <c r="CE595" s="8"/>
      <c r="CF595" s="8"/>
      <c r="CG595" s="8"/>
      <c r="CH595" s="8"/>
      <c r="CI595" s="8"/>
      <c r="CJ595" s="8"/>
      <c r="CK595" s="8"/>
      <c r="CL595" s="8"/>
      <c r="CM595" s="8"/>
      <c r="CN595" s="8"/>
      <c r="CO595" s="8"/>
      <c r="CP595" s="8"/>
      <c r="CQ595" s="8"/>
      <c r="CR595" s="8"/>
      <c r="CS595" s="8"/>
      <c r="CT595" s="8"/>
      <c r="CU595" s="8"/>
      <c r="CV595" s="8"/>
      <c r="CW595" s="8"/>
      <c r="CX595" s="8"/>
      <c r="CY595" s="8"/>
      <c r="CZ595" s="8"/>
      <c r="DA595" s="8"/>
      <c r="DB595" s="8"/>
      <c r="DC595" s="8"/>
      <c r="DD595" s="8"/>
      <c r="DE595" s="8"/>
      <c r="DF595" s="8"/>
      <c r="DG595" s="8"/>
      <c r="DH595" s="8"/>
      <c r="DI595" s="8"/>
      <c r="DJ595" s="8"/>
      <c r="DK595" s="8"/>
      <c r="DL595" s="8"/>
      <c r="DM595" s="8"/>
      <c r="DN595" s="8"/>
      <c r="DO595" s="8"/>
      <c r="DP595" s="8"/>
      <c r="DQ595" s="8"/>
      <c r="DR595" s="8"/>
      <c r="DS595" s="8"/>
      <c r="DT595" s="8"/>
      <c r="DU595" s="8"/>
      <c r="DV595" s="8"/>
      <c r="DW595" s="8"/>
      <c r="DX595" s="8"/>
      <c r="DY595" s="8"/>
      <c r="DZ595" s="8"/>
      <c r="EA595" s="8"/>
      <c r="EB595" s="8"/>
      <c r="EC595" s="8"/>
      <c r="ED595" s="8"/>
      <c r="EE595" s="8"/>
      <c r="EF595" s="8"/>
      <c r="EG595" s="8"/>
      <c r="EH595" s="8"/>
      <c r="EI595" s="8"/>
      <c r="EJ595" s="8"/>
      <c r="EK595" s="8"/>
      <c r="EL595" s="8"/>
      <c r="EM595" s="8"/>
      <c r="EN595" s="8"/>
      <c r="EO595" s="8"/>
      <c r="EP595" s="8"/>
      <c r="EQ595" s="8"/>
      <c r="ER595" s="8"/>
      <c r="ES595" s="8"/>
      <c r="ET595" s="8"/>
      <c r="EU595" s="8"/>
      <c r="EV595" s="8"/>
      <c r="EW595" s="8"/>
      <c r="EX595" s="8"/>
      <c r="EY595" s="8"/>
      <c r="EZ595" s="8"/>
      <c r="FA595" s="8"/>
      <c r="FB595" s="8"/>
      <c r="FC595" s="8"/>
      <c r="FD595" s="8"/>
      <c r="FE595" s="8"/>
      <c r="FF595" s="8"/>
      <c r="FG595" s="8"/>
      <c r="FH595" s="8"/>
      <c r="FI595" s="8"/>
      <c r="FJ595" s="8"/>
      <c r="FK595" s="8"/>
      <c r="FL595" s="8"/>
      <c r="FM595" s="8"/>
      <c r="FN595" s="8"/>
      <c r="FO595" s="8"/>
      <c r="FP595" s="8"/>
      <c r="FQ595" s="8"/>
      <c r="FR595" s="8"/>
      <c r="FS595" s="8"/>
      <c r="FT595" s="8"/>
      <c r="FU595" s="8"/>
      <c r="FV595" s="8"/>
      <c r="FW595" s="8"/>
      <c r="FX595" s="8"/>
      <c r="FY595" s="8"/>
      <c r="FZ595" s="8"/>
      <c r="GA595" s="8"/>
      <c r="GB595" s="8"/>
      <c r="GC595" s="8"/>
      <c r="GD595" s="8"/>
      <c r="GE595" s="8"/>
      <c r="GF595" s="8"/>
      <c r="GG595" s="8"/>
      <c r="GH595" s="8"/>
      <c r="GI595" s="8"/>
      <c r="GJ595" s="8"/>
      <c r="GK595" s="8"/>
      <c r="GL595" s="8"/>
      <c r="GM595" s="8"/>
      <c r="GN595" s="8"/>
      <c r="GO595" s="8"/>
      <c r="GP595" s="8"/>
      <c r="GQ595" s="8"/>
      <c r="GR595" s="8"/>
      <c r="GS595" s="8"/>
      <c r="GT595" s="8"/>
      <c r="GU595" s="8"/>
      <c r="GV595" s="8"/>
      <c r="GW595" s="8"/>
      <c r="GX595" s="8"/>
      <c r="GY595" s="8"/>
      <c r="GZ595" s="8"/>
      <c r="HA595" s="8"/>
      <c r="HB595" s="8"/>
      <c r="HC595" s="8"/>
      <c r="HD595" s="8"/>
      <c r="HE595" s="8"/>
      <c r="HF595" s="8"/>
      <c r="HG595" s="8"/>
      <c r="HH595" s="8"/>
      <c r="HI595" s="8"/>
      <c r="HJ595" s="8"/>
      <c r="HK595" s="8"/>
      <c r="HL595" s="8"/>
      <c r="HM595" s="8"/>
      <c r="HN595" s="8"/>
      <c r="HO595" s="8"/>
      <c r="HP595" s="8"/>
      <c r="HQ595" s="8"/>
      <c r="HR595" s="8"/>
      <c r="HS595" s="8"/>
      <c r="HT595" s="8"/>
      <c r="HU595" s="8"/>
      <c r="HV595" s="8"/>
      <c r="HW595" s="8"/>
      <c r="HX595" s="8"/>
      <c r="HY595" s="8"/>
      <c r="HZ595" s="8"/>
      <c r="IA595" s="8"/>
      <c r="IB595" s="8"/>
      <c r="IC595" s="8"/>
      <c r="ID595" s="8"/>
    </row>
    <row r="596" spans="5:23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8"/>
      <c r="CQ596" s="8"/>
      <c r="CR596" s="8"/>
      <c r="CS596" s="8"/>
      <c r="CT596" s="8"/>
      <c r="CU596" s="8"/>
      <c r="CV596" s="8"/>
      <c r="CW596" s="8"/>
      <c r="CX596" s="8"/>
      <c r="CY596" s="8"/>
      <c r="CZ596" s="8"/>
      <c r="DA596" s="8"/>
      <c r="DB596" s="8"/>
      <c r="DC596" s="8"/>
      <c r="DD596" s="8"/>
      <c r="DE596" s="8"/>
      <c r="DF596" s="8"/>
      <c r="DG596" s="8"/>
      <c r="DH596" s="8"/>
      <c r="DI596" s="8"/>
      <c r="DJ596" s="8"/>
      <c r="DK596" s="8"/>
      <c r="DL596" s="8"/>
      <c r="DM596" s="8"/>
      <c r="DN596" s="8"/>
      <c r="DO596" s="8"/>
      <c r="DP596" s="8"/>
      <c r="DQ596" s="8"/>
      <c r="DR596" s="8"/>
      <c r="DS596" s="8"/>
      <c r="DT596" s="8"/>
      <c r="DU596" s="8"/>
      <c r="DV596" s="8"/>
      <c r="DW596" s="8"/>
      <c r="DX596" s="8"/>
      <c r="DY596" s="8"/>
      <c r="DZ596" s="8"/>
      <c r="EA596" s="8"/>
      <c r="EB596" s="8"/>
      <c r="EC596" s="8"/>
      <c r="ED596" s="8"/>
      <c r="EE596" s="8"/>
      <c r="EF596" s="8"/>
      <c r="EG596" s="8"/>
      <c r="EH596" s="8"/>
      <c r="EI596" s="8"/>
      <c r="EJ596" s="8"/>
      <c r="EK596" s="8"/>
      <c r="EL596" s="8"/>
      <c r="EM596" s="8"/>
      <c r="EN596" s="8"/>
      <c r="EO596" s="8"/>
      <c r="EP596" s="8"/>
      <c r="EQ596" s="8"/>
      <c r="ER596" s="8"/>
      <c r="ES596" s="8"/>
      <c r="ET596" s="8"/>
      <c r="EU596" s="8"/>
      <c r="EV596" s="8"/>
      <c r="EW596" s="8"/>
      <c r="EX596" s="8"/>
      <c r="EY596" s="8"/>
      <c r="EZ596" s="8"/>
      <c r="FA596" s="8"/>
      <c r="FB596" s="8"/>
      <c r="FC596" s="8"/>
      <c r="FD596" s="8"/>
      <c r="FE596" s="8"/>
      <c r="FF596" s="8"/>
      <c r="FG596" s="8"/>
      <c r="FH596" s="8"/>
      <c r="FI596" s="8"/>
      <c r="FJ596" s="8"/>
      <c r="FK596" s="8"/>
      <c r="FL596" s="8"/>
      <c r="FM596" s="8"/>
      <c r="FN596" s="8"/>
      <c r="FO596" s="8"/>
      <c r="FP596" s="8"/>
      <c r="FQ596" s="8"/>
      <c r="FR596" s="8"/>
      <c r="FS596" s="8"/>
      <c r="FT596" s="8"/>
      <c r="FU596" s="8"/>
      <c r="FV596" s="8"/>
      <c r="FW596" s="8"/>
      <c r="FX596" s="8"/>
      <c r="FY596" s="8"/>
      <c r="FZ596" s="8"/>
      <c r="GA596" s="8"/>
      <c r="GB596" s="8"/>
      <c r="GC596" s="8"/>
      <c r="GD596" s="8"/>
      <c r="GE596" s="8"/>
      <c r="GF596" s="8"/>
      <c r="GG596" s="8"/>
      <c r="GH596" s="8"/>
      <c r="GI596" s="8"/>
      <c r="GJ596" s="8"/>
      <c r="GK596" s="8"/>
      <c r="GL596" s="8"/>
      <c r="GM596" s="8"/>
      <c r="GN596" s="8"/>
      <c r="GO596" s="8"/>
      <c r="GP596" s="8"/>
      <c r="GQ596" s="8"/>
      <c r="GR596" s="8"/>
      <c r="GS596" s="8"/>
      <c r="GT596" s="8"/>
      <c r="GU596" s="8"/>
      <c r="GV596" s="8"/>
      <c r="GW596" s="8"/>
      <c r="GX596" s="8"/>
      <c r="GY596" s="8"/>
      <c r="GZ596" s="8"/>
      <c r="HA596" s="8"/>
      <c r="HB596" s="8"/>
      <c r="HC596" s="8"/>
      <c r="HD596" s="8"/>
      <c r="HE596" s="8"/>
      <c r="HF596" s="8"/>
      <c r="HG596" s="8"/>
      <c r="HH596" s="8"/>
      <c r="HI596" s="8"/>
      <c r="HJ596" s="8"/>
      <c r="HK596" s="8"/>
      <c r="HL596" s="8"/>
      <c r="HM596" s="8"/>
      <c r="HN596" s="8"/>
      <c r="HO596" s="8"/>
      <c r="HP596" s="8"/>
      <c r="HQ596" s="8"/>
      <c r="HR596" s="8"/>
      <c r="HS596" s="8"/>
      <c r="HT596" s="8"/>
      <c r="HU596" s="8"/>
      <c r="HV596" s="8"/>
      <c r="HW596" s="8"/>
      <c r="HX596" s="8"/>
      <c r="HY596" s="8"/>
      <c r="HZ596" s="8"/>
      <c r="IA596" s="8"/>
      <c r="IB596" s="8"/>
      <c r="IC596" s="8"/>
      <c r="ID596" s="8"/>
    </row>
    <row r="597" spans="5:23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c r="CB597" s="8"/>
      <c r="CC597" s="8"/>
      <c r="CD597" s="8"/>
      <c r="CE597" s="8"/>
      <c r="CF597" s="8"/>
      <c r="CG597" s="8"/>
      <c r="CH597" s="8"/>
      <c r="CI597" s="8"/>
      <c r="CJ597" s="8"/>
      <c r="CK597" s="8"/>
      <c r="CL597" s="8"/>
      <c r="CM597" s="8"/>
      <c r="CN597" s="8"/>
      <c r="CO597" s="8"/>
      <c r="CP597" s="8"/>
      <c r="CQ597" s="8"/>
      <c r="CR597" s="8"/>
      <c r="CS597" s="8"/>
      <c r="CT597" s="8"/>
      <c r="CU597" s="8"/>
      <c r="CV597" s="8"/>
      <c r="CW597" s="8"/>
      <c r="CX597" s="8"/>
      <c r="CY597" s="8"/>
      <c r="CZ597" s="8"/>
      <c r="DA597" s="8"/>
      <c r="DB597" s="8"/>
      <c r="DC597" s="8"/>
      <c r="DD597" s="8"/>
      <c r="DE597" s="8"/>
      <c r="DF597" s="8"/>
      <c r="DG597" s="8"/>
      <c r="DH597" s="8"/>
      <c r="DI597" s="8"/>
      <c r="DJ597" s="8"/>
      <c r="DK597" s="8"/>
      <c r="DL597" s="8"/>
      <c r="DM597" s="8"/>
      <c r="DN597" s="8"/>
      <c r="DO597" s="8"/>
      <c r="DP597" s="8"/>
      <c r="DQ597" s="8"/>
      <c r="DR597" s="8"/>
      <c r="DS597" s="8"/>
      <c r="DT597" s="8"/>
      <c r="DU597" s="8"/>
      <c r="DV597" s="8"/>
      <c r="DW597" s="8"/>
      <c r="DX597" s="8"/>
      <c r="DY597" s="8"/>
      <c r="DZ597" s="8"/>
      <c r="EA597" s="8"/>
      <c r="EB597" s="8"/>
      <c r="EC597" s="8"/>
      <c r="ED597" s="8"/>
      <c r="EE597" s="8"/>
      <c r="EF597" s="8"/>
      <c r="EG597" s="8"/>
      <c r="EH597" s="8"/>
      <c r="EI597" s="8"/>
      <c r="EJ597" s="8"/>
      <c r="EK597" s="8"/>
      <c r="EL597" s="8"/>
      <c r="EM597" s="8"/>
      <c r="EN597" s="8"/>
      <c r="EO597" s="8"/>
      <c r="EP597" s="8"/>
      <c r="EQ597" s="8"/>
      <c r="ER597" s="8"/>
      <c r="ES597" s="8"/>
      <c r="ET597" s="8"/>
      <c r="EU597" s="8"/>
      <c r="EV597" s="8"/>
      <c r="EW597" s="8"/>
      <c r="EX597" s="8"/>
      <c r="EY597" s="8"/>
      <c r="EZ597" s="8"/>
      <c r="FA597" s="8"/>
      <c r="FB597" s="8"/>
      <c r="FC597" s="8"/>
      <c r="FD597" s="8"/>
      <c r="FE597" s="8"/>
      <c r="FF597" s="8"/>
      <c r="FG597" s="8"/>
      <c r="FH597" s="8"/>
      <c r="FI597" s="8"/>
      <c r="FJ597" s="8"/>
      <c r="FK597" s="8"/>
      <c r="FL597" s="8"/>
      <c r="FM597" s="8"/>
      <c r="FN597" s="8"/>
      <c r="FO597" s="8"/>
      <c r="FP597" s="8"/>
      <c r="FQ597" s="8"/>
      <c r="FR597" s="8"/>
      <c r="FS597" s="8"/>
      <c r="FT597" s="8"/>
      <c r="FU597" s="8"/>
      <c r="FV597" s="8"/>
      <c r="FW597" s="8"/>
      <c r="FX597" s="8"/>
      <c r="FY597" s="8"/>
      <c r="FZ597" s="8"/>
      <c r="GA597" s="8"/>
      <c r="GB597" s="8"/>
      <c r="GC597" s="8"/>
      <c r="GD597" s="8"/>
      <c r="GE597" s="8"/>
      <c r="GF597" s="8"/>
      <c r="GG597" s="8"/>
      <c r="GH597" s="8"/>
      <c r="GI597" s="8"/>
      <c r="GJ597" s="8"/>
      <c r="GK597" s="8"/>
      <c r="GL597" s="8"/>
      <c r="GM597" s="8"/>
      <c r="GN597" s="8"/>
      <c r="GO597" s="8"/>
      <c r="GP597" s="8"/>
      <c r="GQ597" s="8"/>
      <c r="GR597" s="8"/>
      <c r="GS597" s="8"/>
      <c r="GT597" s="8"/>
      <c r="GU597" s="8"/>
      <c r="GV597" s="8"/>
      <c r="GW597" s="8"/>
      <c r="GX597" s="8"/>
      <c r="GY597" s="8"/>
      <c r="GZ597" s="8"/>
      <c r="HA597" s="8"/>
      <c r="HB597" s="8"/>
      <c r="HC597" s="8"/>
      <c r="HD597" s="8"/>
      <c r="HE597" s="8"/>
      <c r="HF597" s="8"/>
      <c r="HG597" s="8"/>
      <c r="HH597" s="8"/>
      <c r="HI597" s="8"/>
      <c r="HJ597" s="8"/>
      <c r="HK597" s="8"/>
      <c r="HL597" s="8"/>
      <c r="HM597" s="8"/>
      <c r="HN597" s="8"/>
      <c r="HO597" s="8"/>
      <c r="HP597" s="8"/>
      <c r="HQ597" s="8"/>
      <c r="HR597" s="8"/>
      <c r="HS597" s="8"/>
      <c r="HT597" s="8"/>
      <c r="HU597" s="8"/>
      <c r="HV597" s="8"/>
      <c r="HW597" s="8"/>
      <c r="HX597" s="8"/>
      <c r="HY597" s="8"/>
      <c r="HZ597" s="8"/>
      <c r="IA597" s="8"/>
      <c r="IB597" s="8"/>
      <c r="IC597" s="8"/>
      <c r="ID597" s="8"/>
    </row>
    <row r="598" spans="5:23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c r="CB598" s="8"/>
      <c r="CC598" s="8"/>
      <c r="CD598" s="8"/>
      <c r="CE598" s="8"/>
      <c r="CF598" s="8"/>
      <c r="CG598" s="8"/>
      <c r="CH598" s="8"/>
      <c r="CI598" s="8"/>
      <c r="CJ598" s="8"/>
      <c r="CK598" s="8"/>
      <c r="CL598" s="8"/>
      <c r="CM598" s="8"/>
      <c r="CN598" s="8"/>
      <c r="CO598" s="8"/>
      <c r="CP598" s="8"/>
      <c r="CQ598" s="8"/>
      <c r="CR598" s="8"/>
      <c r="CS598" s="8"/>
      <c r="CT598" s="8"/>
      <c r="CU598" s="8"/>
      <c r="CV598" s="8"/>
      <c r="CW598" s="8"/>
      <c r="CX598" s="8"/>
      <c r="CY598" s="8"/>
      <c r="CZ598" s="8"/>
      <c r="DA598" s="8"/>
      <c r="DB598" s="8"/>
      <c r="DC598" s="8"/>
      <c r="DD598" s="8"/>
      <c r="DE598" s="8"/>
      <c r="DF598" s="8"/>
      <c r="DG598" s="8"/>
      <c r="DH598" s="8"/>
      <c r="DI598" s="8"/>
      <c r="DJ598" s="8"/>
      <c r="DK598" s="8"/>
      <c r="DL598" s="8"/>
      <c r="DM598" s="8"/>
      <c r="DN598" s="8"/>
      <c r="DO598" s="8"/>
      <c r="DP598" s="8"/>
      <c r="DQ598" s="8"/>
      <c r="DR598" s="8"/>
      <c r="DS598" s="8"/>
      <c r="DT598" s="8"/>
      <c r="DU598" s="8"/>
      <c r="DV598" s="8"/>
      <c r="DW598" s="8"/>
      <c r="DX598" s="8"/>
      <c r="DY598" s="8"/>
      <c r="DZ598" s="8"/>
      <c r="EA598" s="8"/>
      <c r="EB598" s="8"/>
      <c r="EC598" s="8"/>
      <c r="ED598" s="8"/>
      <c r="EE598" s="8"/>
      <c r="EF598" s="8"/>
      <c r="EG598" s="8"/>
      <c r="EH598" s="8"/>
      <c r="EI598" s="8"/>
      <c r="EJ598" s="8"/>
      <c r="EK598" s="8"/>
      <c r="EL598" s="8"/>
      <c r="EM598" s="8"/>
      <c r="EN598" s="8"/>
      <c r="EO598" s="8"/>
      <c r="EP598" s="8"/>
      <c r="EQ598" s="8"/>
      <c r="ER598" s="8"/>
      <c r="ES598" s="8"/>
      <c r="ET598" s="8"/>
      <c r="EU598" s="8"/>
      <c r="EV598" s="8"/>
      <c r="EW598" s="8"/>
      <c r="EX598" s="8"/>
      <c r="EY598" s="8"/>
      <c r="EZ598" s="8"/>
      <c r="FA598" s="8"/>
      <c r="FB598" s="8"/>
      <c r="FC598" s="8"/>
      <c r="FD598" s="8"/>
      <c r="FE598" s="8"/>
      <c r="FF598" s="8"/>
      <c r="FG598" s="8"/>
      <c r="FH598" s="8"/>
      <c r="FI598" s="8"/>
      <c r="FJ598" s="8"/>
      <c r="FK598" s="8"/>
      <c r="FL598" s="8"/>
      <c r="FM598" s="8"/>
      <c r="FN598" s="8"/>
      <c r="FO598" s="8"/>
      <c r="FP598" s="8"/>
      <c r="FQ598" s="8"/>
      <c r="FR598" s="8"/>
      <c r="FS598" s="8"/>
      <c r="FT598" s="8"/>
      <c r="FU598" s="8"/>
      <c r="FV598" s="8"/>
      <c r="FW598" s="8"/>
      <c r="FX598" s="8"/>
      <c r="FY598" s="8"/>
      <c r="FZ598" s="8"/>
      <c r="GA598" s="8"/>
      <c r="GB598" s="8"/>
      <c r="GC598" s="8"/>
      <c r="GD598" s="8"/>
      <c r="GE598" s="8"/>
      <c r="GF598" s="8"/>
      <c r="GG598" s="8"/>
      <c r="GH598" s="8"/>
      <c r="GI598" s="8"/>
      <c r="GJ598" s="8"/>
      <c r="GK598" s="8"/>
      <c r="GL598" s="8"/>
      <c r="GM598" s="8"/>
      <c r="GN598" s="8"/>
      <c r="GO598" s="8"/>
      <c r="GP598" s="8"/>
      <c r="GQ598" s="8"/>
      <c r="GR598" s="8"/>
      <c r="GS598" s="8"/>
      <c r="GT598" s="8"/>
      <c r="GU598" s="8"/>
      <c r="GV598" s="8"/>
      <c r="GW598" s="8"/>
      <c r="GX598" s="8"/>
      <c r="GY598" s="8"/>
      <c r="GZ598" s="8"/>
      <c r="HA598" s="8"/>
      <c r="HB598" s="8"/>
      <c r="HC598" s="8"/>
      <c r="HD598" s="8"/>
      <c r="HE598" s="8"/>
      <c r="HF598" s="8"/>
      <c r="HG598" s="8"/>
      <c r="HH598" s="8"/>
      <c r="HI598" s="8"/>
      <c r="HJ598" s="8"/>
      <c r="HK598" s="8"/>
      <c r="HL598" s="8"/>
      <c r="HM598" s="8"/>
      <c r="HN598" s="8"/>
      <c r="HO598" s="8"/>
      <c r="HP598" s="8"/>
      <c r="HQ598" s="8"/>
      <c r="HR598" s="8"/>
      <c r="HS598" s="8"/>
      <c r="HT598" s="8"/>
      <c r="HU598" s="8"/>
      <c r="HV598" s="8"/>
      <c r="HW598" s="8"/>
      <c r="HX598" s="8"/>
      <c r="HY598" s="8"/>
      <c r="HZ598" s="8"/>
      <c r="IA598" s="8"/>
      <c r="IB598" s="8"/>
      <c r="IC598" s="8"/>
      <c r="ID598" s="8"/>
    </row>
    <row r="599" spans="5:23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8"/>
      <c r="CQ599" s="8"/>
      <c r="CR599" s="8"/>
      <c r="CS599" s="8"/>
      <c r="CT599" s="8"/>
      <c r="CU599" s="8"/>
      <c r="CV599" s="8"/>
      <c r="CW599" s="8"/>
      <c r="CX599" s="8"/>
      <c r="CY599" s="8"/>
      <c r="CZ599" s="8"/>
      <c r="DA599" s="8"/>
      <c r="DB599" s="8"/>
      <c r="DC599" s="8"/>
      <c r="DD599" s="8"/>
      <c r="DE599" s="8"/>
      <c r="DF599" s="8"/>
      <c r="DG599" s="8"/>
      <c r="DH599" s="8"/>
      <c r="DI599" s="8"/>
      <c r="DJ599" s="8"/>
      <c r="DK599" s="8"/>
      <c r="DL599" s="8"/>
      <c r="DM599" s="8"/>
      <c r="DN599" s="8"/>
      <c r="DO599" s="8"/>
      <c r="DP599" s="8"/>
      <c r="DQ599" s="8"/>
      <c r="DR599" s="8"/>
      <c r="DS599" s="8"/>
      <c r="DT599" s="8"/>
      <c r="DU599" s="8"/>
      <c r="DV599" s="8"/>
      <c r="DW599" s="8"/>
      <c r="DX599" s="8"/>
      <c r="DY599" s="8"/>
      <c r="DZ599" s="8"/>
      <c r="EA599" s="8"/>
      <c r="EB599" s="8"/>
      <c r="EC599" s="8"/>
      <c r="ED599" s="8"/>
      <c r="EE599" s="8"/>
      <c r="EF599" s="8"/>
      <c r="EG599" s="8"/>
      <c r="EH599" s="8"/>
      <c r="EI599" s="8"/>
      <c r="EJ599" s="8"/>
      <c r="EK599" s="8"/>
      <c r="EL599" s="8"/>
      <c r="EM599" s="8"/>
      <c r="EN599" s="8"/>
      <c r="EO599" s="8"/>
      <c r="EP599" s="8"/>
      <c r="EQ599" s="8"/>
      <c r="ER599" s="8"/>
      <c r="ES599" s="8"/>
      <c r="ET599" s="8"/>
      <c r="EU599" s="8"/>
      <c r="EV599" s="8"/>
      <c r="EW599" s="8"/>
      <c r="EX599" s="8"/>
      <c r="EY599" s="8"/>
      <c r="EZ599" s="8"/>
      <c r="FA599" s="8"/>
      <c r="FB599" s="8"/>
      <c r="FC599" s="8"/>
      <c r="FD599" s="8"/>
      <c r="FE599" s="8"/>
      <c r="FF599" s="8"/>
      <c r="FG599" s="8"/>
      <c r="FH599" s="8"/>
      <c r="FI599" s="8"/>
      <c r="FJ599" s="8"/>
      <c r="FK599" s="8"/>
      <c r="FL599" s="8"/>
      <c r="FM599" s="8"/>
      <c r="FN599" s="8"/>
      <c r="FO599" s="8"/>
      <c r="FP599" s="8"/>
      <c r="FQ599" s="8"/>
      <c r="FR599" s="8"/>
      <c r="FS599" s="8"/>
      <c r="FT599" s="8"/>
      <c r="FU599" s="8"/>
      <c r="FV599" s="8"/>
      <c r="FW599" s="8"/>
      <c r="FX599" s="8"/>
      <c r="FY599" s="8"/>
      <c r="FZ599" s="8"/>
      <c r="GA599" s="8"/>
      <c r="GB599" s="8"/>
      <c r="GC599" s="8"/>
      <c r="GD599" s="8"/>
      <c r="GE599" s="8"/>
      <c r="GF599" s="8"/>
      <c r="GG599" s="8"/>
      <c r="GH599" s="8"/>
      <c r="GI599" s="8"/>
      <c r="GJ599" s="8"/>
      <c r="GK599" s="8"/>
      <c r="GL599" s="8"/>
      <c r="GM599" s="8"/>
      <c r="GN599" s="8"/>
      <c r="GO599" s="8"/>
      <c r="GP599" s="8"/>
      <c r="GQ599" s="8"/>
      <c r="GR599" s="8"/>
      <c r="GS599" s="8"/>
      <c r="GT599" s="8"/>
      <c r="GU599" s="8"/>
      <c r="GV599" s="8"/>
      <c r="GW599" s="8"/>
      <c r="GX599" s="8"/>
      <c r="GY599" s="8"/>
      <c r="GZ599" s="8"/>
      <c r="HA599" s="8"/>
      <c r="HB599" s="8"/>
      <c r="HC599" s="8"/>
      <c r="HD599" s="8"/>
      <c r="HE599" s="8"/>
      <c r="HF599" s="8"/>
      <c r="HG599" s="8"/>
      <c r="HH599" s="8"/>
      <c r="HI599" s="8"/>
      <c r="HJ599" s="8"/>
      <c r="HK599" s="8"/>
      <c r="HL599" s="8"/>
      <c r="HM599" s="8"/>
      <c r="HN599" s="8"/>
      <c r="HO599" s="8"/>
      <c r="HP599" s="8"/>
      <c r="HQ599" s="8"/>
      <c r="HR599" s="8"/>
      <c r="HS599" s="8"/>
      <c r="HT599" s="8"/>
      <c r="HU599" s="8"/>
      <c r="HV599" s="8"/>
      <c r="HW599" s="8"/>
      <c r="HX599" s="8"/>
      <c r="HY599" s="8"/>
      <c r="HZ599" s="8"/>
      <c r="IA599" s="8"/>
      <c r="IB599" s="8"/>
      <c r="IC599" s="8"/>
      <c r="ID599" s="8"/>
    </row>
    <row r="600" spans="5:23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c r="DI600" s="8"/>
      <c r="DJ600" s="8"/>
      <c r="DK600" s="8"/>
      <c r="DL600" s="8"/>
      <c r="DM600" s="8"/>
      <c r="DN600" s="8"/>
      <c r="DO600" s="8"/>
      <c r="DP600" s="8"/>
      <c r="DQ600" s="8"/>
      <c r="DR600" s="8"/>
      <c r="DS600" s="8"/>
      <c r="DT600" s="8"/>
      <c r="DU600" s="8"/>
      <c r="DV600" s="8"/>
      <c r="DW600" s="8"/>
      <c r="DX600" s="8"/>
      <c r="DY600" s="8"/>
      <c r="DZ600" s="8"/>
      <c r="EA600" s="8"/>
      <c r="EB600" s="8"/>
      <c r="EC600" s="8"/>
      <c r="ED600" s="8"/>
      <c r="EE600" s="8"/>
      <c r="EF600" s="8"/>
      <c r="EG600" s="8"/>
      <c r="EH600" s="8"/>
      <c r="EI600" s="8"/>
      <c r="EJ600" s="8"/>
      <c r="EK600" s="8"/>
      <c r="EL600" s="8"/>
      <c r="EM600" s="8"/>
      <c r="EN600" s="8"/>
      <c r="EO600" s="8"/>
      <c r="EP600" s="8"/>
      <c r="EQ600" s="8"/>
      <c r="ER600" s="8"/>
      <c r="ES600" s="8"/>
      <c r="ET600" s="8"/>
      <c r="EU600" s="8"/>
      <c r="EV600" s="8"/>
      <c r="EW600" s="8"/>
      <c r="EX600" s="8"/>
      <c r="EY600" s="8"/>
      <c r="EZ600" s="8"/>
      <c r="FA600" s="8"/>
      <c r="FB600" s="8"/>
      <c r="FC600" s="8"/>
      <c r="FD600" s="8"/>
      <c r="FE600" s="8"/>
      <c r="FF600" s="8"/>
      <c r="FG600" s="8"/>
      <c r="FH600" s="8"/>
      <c r="FI600" s="8"/>
      <c r="FJ600" s="8"/>
      <c r="FK600" s="8"/>
      <c r="FL600" s="8"/>
      <c r="FM600" s="8"/>
      <c r="FN600" s="8"/>
      <c r="FO600" s="8"/>
      <c r="FP600" s="8"/>
      <c r="FQ600" s="8"/>
      <c r="FR600" s="8"/>
      <c r="FS600" s="8"/>
      <c r="FT600" s="8"/>
      <c r="FU600" s="8"/>
      <c r="FV600" s="8"/>
      <c r="FW600" s="8"/>
      <c r="FX600" s="8"/>
      <c r="FY600" s="8"/>
      <c r="FZ600" s="8"/>
      <c r="GA600" s="8"/>
      <c r="GB600" s="8"/>
      <c r="GC600" s="8"/>
      <c r="GD600" s="8"/>
      <c r="GE600" s="8"/>
      <c r="GF600" s="8"/>
      <c r="GG600" s="8"/>
      <c r="GH600" s="8"/>
      <c r="GI600" s="8"/>
      <c r="GJ600" s="8"/>
      <c r="GK600" s="8"/>
      <c r="GL600" s="8"/>
      <c r="GM600" s="8"/>
      <c r="GN600" s="8"/>
      <c r="GO600" s="8"/>
      <c r="GP600" s="8"/>
      <c r="GQ600" s="8"/>
      <c r="GR600" s="8"/>
      <c r="GS600" s="8"/>
      <c r="GT600" s="8"/>
      <c r="GU600" s="8"/>
      <c r="GV600" s="8"/>
      <c r="GW600" s="8"/>
      <c r="GX600" s="8"/>
      <c r="GY600" s="8"/>
      <c r="GZ600" s="8"/>
      <c r="HA600" s="8"/>
      <c r="HB600" s="8"/>
      <c r="HC600" s="8"/>
      <c r="HD600" s="8"/>
      <c r="HE600" s="8"/>
      <c r="HF600" s="8"/>
      <c r="HG600" s="8"/>
      <c r="HH600" s="8"/>
      <c r="HI600" s="8"/>
      <c r="HJ600" s="8"/>
      <c r="HK600" s="8"/>
      <c r="HL600" s="8"/>
      <c r="HM600" s="8"/>
      <c r="HN600" s="8"/>
      <c r="HO600" s="8"/>
      <c r="HP600" s="8"/>
      <c r="HQ600" s="8"/>
      <c r="HR600" s="8"/>
      <c r="HS600" s="8"/>
      <c r="HT600" s="8"/>
      <c r="HU600" s="8"/>
      <c r="HV600" s="8"/>
      <c r="HW600" s="8"/>
      <c r="HX600" s="8"/>
      <c r="HY600" s="8"/>
      <c r="HZ600" s="8"/>
      <c r="IA600" s="8"/>
      <c r="IB600" s="8"/>
      <c r="IC600" s="8"/>
      <c r="ID600" s="8"/>
    </row>
    <row r="601" spans="5:23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c r="DI601" s="8"/>
      <c r="DJ601" s="8"/>
      <c r="DK601" s="8"/>
      <c r="DL601" s="8"/>
      <c r="DM601" s="8"/>
      <c r="DN601" s="8"/>
      <c r="DO601" s="8"/>
      <c r="DP601" s="8"/>
      <c r="DQ601" s="8"/>
      <c r="DR601" s="8"/>
      <c r="DS601" s="8"/>
      <c r="DT601" s="8"/>
      <c r="DU601" s="8"/>
      <c r="DV601" s="8"/>
      <c r="DW601" s="8"/>
      <c r="DX601" s="8"/>
      <c r="DY601" s="8"/>
      <c r="DZ601" s="8"/>
      <c r="EA601" s="8"/>
      <c r="EB601" s="8"/>
      <c r="EC601" s="8"/>
      <c r="ED601" s="8"/>
      <c r="EE601" s="8"/>
      <c r="EF601" s="8"/>
      <c r="EG601" s="8"/>
      <c r="EH601" s="8"/>
      <c r="EI601" s="8"/>
      <c r="EJ601" s="8"/>
      <c r="EK601" s="8"/>
      <c r="EL601" s="8"/>
      <c r="EM601" s="8"/>
      <c r="EN601" s="8"/>
      <c r="EO601" s="8"/>
      <c r="EP601" s="8"/>
      <c r="EQ601" s="8"/>
      <c r="ER601" s="8"/>
      <c r="ES601" s="8"/>
      <c r="ET601" s="8"/>
      <c r="EU601" s="8"/>
      <c r="EV601" s="8"/>
      <c r="EW601" s="8"/>
      <c r="EX601" s="8"/>
      <c r="EY601" s="8"/>
      <c r="EZ601" s="8"/>
      <c r="FA601" s="8"/>
      <c r="FB601" s="8"/>
      <c r="FC601" s="8"/>
      <c r="FD601" s="8"/>
      <c r="FE601" s="8"/>
      <c r="FF601" s="8"/>
      <c r="FG601" s="8"/>
      <c r="FH601" s="8"/>
      <c r="FI601" s="8"/>
      <c r="FJ601" s="8"/>
      <c r="FK601" s="8"/>
      <c r="FL601" s="8"/>
      <c r="FM601" s="8"/>
      <c r="FN601" s="8"/>
      <c r="FO601" s="8"/>
      <c r="FP601" s="8"/>
      <c r="FQ601" s="8"/>
      <c r="FR601" s="8"/>
      <c r="FS601" s="8"/>
      <c r="FT601" s="8"/>
      <c r="FU601" s="8"/>
      <c r="FV601" s="8"/>
      <c r="FW601" s="8"/>
      <c r="FX601" s="8"/>
      <c r="FY601" s="8"/>
      <c r="FZ601" s="8"/>
      <c r="GA601" s="8"/>
      <c r="GB601" s="8"/>
      <c r="GC601" s="8"/>
      <c r="GD601" s="8"/>
      <c r="GE601" s="8"/>
      <c r="GF601" s="8"/>
      <c r="GG601" s="8"/>
      <c r="GH601" s="8"/>
      <c r="GI601" s="8"/>
      <c r="GJ601" s="8"/>
      <c r="GK601" s="8"/>
      <c r="GL601" s="8"/>
      <c r="GM601" s="8"/>
      <c r="GN601" s="8"/>
      <c r="GO601" s="8"/>
      <c r="GP601" s="8"/>
      <c r="GQ601" s="8"/>
      <c r="GR601" s="8"/>
      <c r="GS601" s="8"/>
      <c r="GT601" s="8"/>
      <c r="GU601" s="8"/>
      <c r="GV601" s="8"/>
      <c r="GW601" s="8"/>
      <c r="GX601" s="8"/>
      <c r="GY601" s="8"/>
      <c r="GZ601" s="8"/>
      <c r="HA601" s="8"/>
      <c r="HB601" s="8"/>
      <c r="HC601" s="8"/>
      <c r="HD601" s="8"/>
      <c r="HE601" s="8"/>
      <c r="HF601" s="8"/>
      <c r="HG601" s="8"/>
      <c r="HH601" s="8"/>
      <c r="HI601" s="8"/>
      <c r="HJ601" s="8"/>
      <c r="HK601" s="8"/>
      <c r="HL601" s="8"/>
      <c r="HM601" s="8"/>
      <c r="HN601" s="8"/>
      <c r="HO601" s="8"/>
      <c r="HP601" s="8"/>
      <c r="HQ601" s="8"/>
      <c r="HR601" s="8"/>
      <c r="HS601" s="8"/>
      <c r="HT601" s="8"/>
      <c r="HU601" s="8"/>
      <c r="HV601" s="8"/>
      <c r="HW601" s="8"/>
      <c r="HX601" s="8"/>
      <c r="HY601" s="8"/>
      <c r="HZ601" s="8"/>
      <c r="IA601" s="8"/>
      <c r="IB601" s="8"/>
      <c r="IC601" s="8"/>
      <c r="ID601" s="8"/>
    </row>
    <row r="602" spans="5:23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8"/>
      <c r="CQ602" s="8"/>
      <c r="CR602" s="8"/>
      <c r="CS602" s="8"/>
      <c r="CT602" s="8"/>
      <c r="CU602" s="8"/>
      <c r="CV602" s="8"/>
      <c r="CW602" s="8"/>
      <c r="CX602" s="8"/>
      <c r="CY602" s="8"/>
      <c r="CZ602" s="8"/>
      <c r="DA602" s="8"/>
      <c r="DB602" s="8"/>
      <c r="DC602" s="8"/>
      <c r="DD602" s="8"/>
      <c r="DE602" s="8"/>
      <c r="DF602" s="8"/>
      <c r="DG602" s="8"/>
      <c r="DH602" s="8"/>
      <c r="DI602" s="8"/>
      <c r="DJ602" s="8"/>
      <c r="DK602" s="8"/>
      <c r="DL602" s="8"/>
      <c r="DM602" s="8"/>
      <c r="DN602" s="8"/>
      <c r="DO602" s="8"/>
      <c r="DP602" s="8"/>
      <c r="DQ602" s="8"/>
      <c r="DR602" s="8"/>
      <c r="DS602" s="8"/>
      <c r="DT602" s="8"/>
      <c r="DU602" s="8"/>
      <c r="DV602" s="8"/>
      <c r="DW602" s="8"/>
      <c r="DX602" s="8"/>
      <c r="DY602" s="8"/>
      <c r="DZ602" s="8"/>
      <c r="EA602" s="8"/>
      <c r="EB602" s="8"/>
      <c r="EC602" s="8"/>
      <c r="ED602" s="8"/>
      <c r="EE602" s="8"/>
      <c r="EF602" s="8"/>
      <c r="EG602" s="8"/>
      <c r="EH602" s="8"/>
      <c r="EI602" s="8"/>
      <c r="EJ602" s="8"/>
      <c r="EK602" s="8"/>
      <c r="EL602" s="8"/>
      <c r="EM602" s="8"/>
      <c r="EN602" s="8"/>
      <c r="EO602" s="8"/>
      <c r="EP602" s="8"/>
      <c r="EQ602" s="8"/>
      <c r="ER602" s="8"/>
      <c r="ES602" s="8"/>
      <c r="ET602" s="8"/>
      <c r="EU602" s="8"/>
      <c r="EV602" s="8"/>
      <c r="EW602" s="8"/>
      <c r="EX602" s="8"/>
      <c r="EY602" s="8"/>
      <c r="EZ602" s="8"/>
      <c r="FA602" s="8"/>
      <c r="FB602" s="8"/>
      <c r="FC602" s="8"/>
      <c r="FD602" s="8"/>
      <c r="FE602" s="8"/>
      <c r="FF602" s="8"/>
      <c r="FG602" s="8"/>
      <c r="FH602" s="8"/>
      <c r="FI602" s="8"/>
      <c r="FJ602" s="8"/>
      <c r="FK602" s="8"/>
      <c r="FL602" s="8"/>
      <c r="FM602" s="8"/>
      <c r="FN602" s="8"/>
      <c r="FO602" s="8"/>
      <c r="FP602" s="8"/>
      <c r="FQ602" s="8"/>
      <c r="FR602" s="8"/>
      <c r="FS602" s="8"/>
      <c r="FT602" s="8"/>
      <c r="FU602" s="8"/>
      <c r="FV602" s="8"/>
      <c r="FW602" s="8"/>
      <c r="FX602" s="8"/>
      <c r="FY602" s="8"/>
      <c r="FZ602" s="8"/>
      <c r="GA602" s="8"/>
      <c r="GB602" s="8"/>
      <c r="GC602" s="8"/>
      <c r="GD602" s="8"/>
      <c r="GE602" s="8"/>
      <c r="GF602" s="8"/>
      <c r="GG602" s="8"/>
      <c r="GH602" s="8"/>
      <c r="GI602" s="8"/>
      <c r="GJ602" s="8"/>
      <c r="GK602" s="8"/>
      <c r="GL602" s="8"/>
      <c r="GM602" s="8"/>
      <c r="GN602" s="8"/>
      <c r="GO602" s="8"/>
      <c r="GP602" s="8"/>
      <c r="GQ602" s="8"/>
      <c r="GR602" s="8"/>
      <c r="GS602" s="8"/>
      <c r="GT602" s="8"/>
      <c r="GU602" s="8"/>
      <c r="GV602" s="8"/>
      <c r="GW602" s="8"/>
      <c r="GX602" s="8"/>
      <c r="GY602" s="8"/>
      <c r="GZ602" s="8"/>
      <c r="HA602" s="8"/>
      <c r="HB602" s="8"/>
      <c r="HC602" s="8"/>
      <c r="HD602" s="8"/>
      <c r="HE602" s="8"/>
      <c r="HF602" s="8"/>
      <c r="HG602" s="8"/>
      <c r="HH602" s="8"/>
      <c r="HI602" s="8"/>
      <c r="HJ602" s="8"/>
      <c r="HK602" s="8"/>
      <c r="HL602" s="8"/>
      <c r="HM602" s="8"/>
      <c r="HN602" s="8"/>
      <c r="HO602" s="8"/>
      <c r="HP602" s="8"/>
      <c r="HQ602" s="8"/>
      <c r="HR602" s="8"/>
      <c r="HS602" s="8"/>
      <c r="HT602" s="8"/>
      <c r="HU602" s="8"/>
      <c r="HV602" s="8"/>
      <c r="HW602" s="8"/>
      <c r="HX602" s="8"/>
      <c r="HY602" s="8"/>
      <c r="HZ602" s="8"/>
      <c r="IA602" s="8"/>
      <c r="IB602" s="8"/>
      <c r="IC602" s="8"/>
      <c r="ID602" s="8"/>
    </row>
    <row r="603" spans="5:23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8"/>
      <c r="CQ603" s="8"/>
      <c r="CR603" s="8"/>
      <c r="CS603" s="8"/>
      <c r="CT603" s="8"/>
      <c r="CU603" s="8"/>
      <c r="CV603" s="8"/>
      <c r="CW603" s="8"/>
      <c r="CX603" s="8"/>
      <c r="CY603" s="8"/>
      <c r="CZ603" s="8"/>
      <c r="DA603" s="8"/>
      <c r="DB603" s="8"/>
      <c r="DC603" s="8"/>
      <c r="DD603" s="8"/>
      <c r="DE603" s="8"/>
      <c r="DF603" s="8"/>
      <c r="DG603" s="8"/>
      <c r="DH603" s="8"/>
      <c r="DI603" s="8"/>
      <c r="DJ603" s="8"/>
      <c r="DK603" s="8"/>
      <c r="DL603" s="8"/>
      <c r="DM603" s="8"/>
      <c r="DN603" s="8"/>
      <c r="DO603" s="8"/>
      <c r="DP603" s="8"/>
      <c r="DQ603" s="8"/>
      <c r="DR603" s="8"/>
      <c r="DS603" s="8"/>
      <c r="DT603" s="8"/>
      <c r="DU603" s="8"/>
      <c r="DV603" s="8"/>
      <c r="DW603" s="8"/>
      <c r="DX603" s="8"/>
      <c r="DY603" s="8"/>
      <c r="DZ603" s="8"/>
      <c r="EA603" s="8"/>
      <c r="EB603" s="8"/>
      <c r="EC603" s="8"/>
      <c r="ED603" s="8"/>
      <c r="EE603" s="8"/>
      <c r="EF603" s="8"/>
      <c r="EG603" s="8"/>
      <c r="EH603" s="8"/>
      <c r="EI603" s="8"/>
      <c r="EJ603" s="8"/>
      <c r="EK603" s="8"/>
      <c r="EL603" s="8"/>
      <c r="EM603" s="8"/>
      <c r="EN603" s="8"/>
      <c r="EO603" s="8"/>
      <c r="EP603" s="8"/>
      <c r="EQ603" s="8"/>
      <c r="ER603" s="8"/>
      <c r="ES603" s="8"/>
      <c r="ET603" s="8"/>
      <c r="EU603" s="8"/>
      <c r="EV603" s="8"/>
      <c r="EW603" s="8"/>
      <c r="EX603" s="8"/>
      <c r="EY603" s="8"/>
      <c r="EZ603" s="8"/>
      <c r="FA603" s="8"/>
      <c r="FB603" s="8"/>
      <c r="FC603" s="8"/>
      <c r="FD603" s="8"/>
      <c r="FE603" s="8"/>
      <c r="FF603" s="8"/>
      <c r="FG603" s="8"/>
      <c r="FH603" s="8"/>
      <c r="FI603" s="8"/>
      <c r="FJ603" s="8"/>
      <c r="FK603" s="8"/>
      <c r="FL603" s="8"/>
      <c r="FM603" s="8"/>
      <c r="FN603" s="8"/>
      <c r="FO603" s="8"/>
      <c r="FP603" s="8"/>
      <c r="FQ603" s="8"/>
      <c r="FR603" s="8"/>
      <c r="FS603" s="8"/>
      <c r="FT603" s="8"/>
      <c r="FU603" s="8"/>
      <c r="FV603" s="8"/>
      <c r="FW603" s="8"/>
      <c r="FX603" s="8"/>
      <c r="FY603" s="8"/>
      <c r="FZ603" s="8"/>
      <c r="GA603" s="8"/>
      <c r="GB603" s="8"/>
      <c r="GC603" s="8"/>
      <c r="GD603" s="8"/>
      <c r="GE603" s="8"/>
      <c r="GF603" s="8"/>
      <c r="GG603" s="8"/>
      <c r="GH603" s="8"/>
      <c r="GI603" s="8"/>
      <c r="GJ603" s="8"/>
      <c r="GK603" s="8"/>
      <c r="GL603" s="8"/>
      <c r="GM603" s="8"/>
      <c r="GN603" s="8"/>
      <c r="GO603" s="8"/>
      <c r="GP603" s="8"/>
      <c r="GQ603" s="8"/>
      <c r="GR603" s="8"/>
      <c r="GS603" s="8"/>
      <c r="GT603" s="8"/>
      <c r="GU603" s="8"/>
      <c r="GV603" s="8"/>
      <c r="GW603" s="8"/>
      <c r="GX603" s="8"/>
      <c r="GY603" s="8"/>
      <c r="GZ603" s="8"/>
      <c r="HA603" s="8"/>
      <c r="HB603" s="8"/>
      <c r="HC603" s="8"/>
      <c r="HD603" s="8"/>
      <c r="HE603" s="8"/>
      <c r="HF603" s="8"/>
      <c r="HG603" s="8"/>
      <c r="HH603" s="8"/>
      <c r="HI603" s="8"/>
      <c r="HJ603" s="8"/>
      <c r="HK603" s="8"/>
      <c r="HL603" s="8"/>
      <c r="HM603" s="8"/>
      <c r="HN603" s="8"/>
      <c r="HO603" s="8"/>
      <c r="HP603" s="8"/>
      <c r="HQ603" s="8"/>
      <c r="HR603" s="8"/>
      <c r="HS603" s="8"/>
      <c r="HT603" s="8"/>
      <c r="HU603" s="8"/>
      <c r="HV603" s="8"/>
      <c r="HW603" s="8"/>
      <c r="HX603" s="8"/>
      <c r="HY603" s="8"/>
      <c r="HZ603" s="8"/>
      <c r="IA603" s="8"/>
      <c r="IB603" s="8"/>
      <c r="IC603" s="8"/>
      <c r="ID603" s="8"/>
    </row>
    <row r="604" spans="5:23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c r="DI604" s="8"/>
      <c r="DJ604" s="8"/>
      <c r="DK604" s="8"/>
      <c r="DL604" s="8"/>
      <c r="DM604" s="8"/>
      <c r="DN604" s="8"/>
      <c r="DO604" s="8"/>
      <c r="DP604" s="8"/>
      <c r="DQ604" s="8"/>
      <c r="DR604" s="8"/>
      <c r="DS604" s="8"/>
      <c r="DT604" s="8"/>
      <c r="DU604" s="8"/>
      <c r="DV604" s="8"/>
      <c r="DW604" s="8"/>
      <c r="DX604" s="8"/>
      <c r="DY604" s="8"/>
      <c r="DZ604" s="8"/>
      <c r="EA604" s="8"/>
      <c r="EB604" s="8"/>
      <c r="EC604" s="8"/>
      <c r="ED604" s="8"/>
      <c r="EE604" s="8"/>
      <c r="EF604" s="8"/>
      <c r="EG604" s="8"/>
      <c r="EH604" s="8"/>
      <c r="EI604" s="8"/>
      <c r="EJ604" s="8"/>
      <c r="EK604" s="8"/>
      <c r="EL604" s="8"/>
      <c r="EM604" s="8"/>
      <c r="EN604" s="8"/>
      <c r="EO604" s="8"/>
      <c r="EP604" s="8"/>
      <c r="EQ604" s="8"/>
      <c r="ER604" s="8"/>
      <c r="ES604" s="8"/>
      <c r="ET604" s="8"/>
      <c r="EU604" s="8"/>
      <c r="EV604" s="8"/>
      <c r="EW604" s="8"/>
      <c r="EX604" s="8"/>
      <c r="EY604" s="8"/>
      <c r="EZ604" s="8"/>
      <c r="FA604" s="8"/>
      <c r="FB604" s="8"/>
      <c r="FC604" s="8"/>
      <c r="FD604" s="8"/>
      <c r="FE604" s="8"/>
      <c r="FF604" s="8"/>
      <c r="FG604" s="8"/>
      <c r="FH604" s="8"/>
      <c r="FI604" s="8"/>
      <c r="FJ604" s="8"/>
      <c r="FK604" s="8"/>
      <c r="FL604" s="8"/>
      <c r="FM604" s="8"/>
      <c r="FN604" s="8"/>
      <c r="FO604" s="8"/>
      <c r="FP604" s="8"/>
      <c r="FQ604" s="8"/>
      <c r="FR604" s="8"/>
      <c r="FS604" s="8"/>
      <c r="FT604" s="8"/>
      <c r="FU604" s="8"/>
      <c r="FV604" s="8"/>
      <c r="FW604" s="8"/>
      <c r="FX604" s="8"/>
      <c r="FY604" s="8"/>
      <c r="FZ604" s="8"/>
      <c r="GA604" s="8"/>
      <c r="GB604" s="8"/>
      <c r="GC604" s="8"/>
      <c r="GD604" s="8"/>
      <c r="GE604" s="8"/>
      <c r="GF604" s="8"/>
      <c r="GG604" s="8"/>
      <c r="GH604" s="8"/>
      <c r="GI604" s="8"/>
      <c r="GJ604" s="8"/>
      <c r="GK604" s="8"/>
      <c r="GL604" s="8"/>
      <c r="GM604" s="8"/>
      <c r="GN604" s="8"/>
      <c r="GO604" s="8"/>
      <c r="GP604" s="8"/>
      <c r="GQ604" s="8"/>
      <c r="GR604" s="8"/>
      <c r="GS604" s="8"/>
      <c r="GT604" s="8"/>
      <c r="GU604" s="8"/>
      <c r="GV604" s="8"/>
      <c r="GW604" s="8"/>
      <c r="GX604" s="8"/>
      <c r="GY604" s="8"/>
      <c r="GZ604" s="8"/>
      <c r="HA604" s="8"/>
      <c r="HB604" s="8"/>
      <c r="HC604" s="8"/>
      <c r="HD604" s="8"/>
      <c r="HE604" s="8"/>
      <c r="HF604" s="8"/>
      <c r="HG604" s="8"/>
      <c r="HH604" s="8"/>
      <c r="HI604" s="8"/>
      <c r="HJ604" s="8"/>
      <c r="HK604" s="8"/>
      <c r="HL604" s="8"/>
      <c r="HM604" s="8"/>
      <c r="HN604" s="8"/>
      <c r="HO604" s="8"/>
      <c r="HP604" s="8"/>
      <c r="HQ604" s="8"/>
      <c r="HR604" s="8"/>
      <c r="HS604" s="8"/>
      <c r="HT604" s="8"/>
      <c r="HU604" s="8"/>
      <c r="HV604" s="8"/>
      <c r="HW604" s="8"/>
      <c r="HX604" s="8"/>
      <c r="HY604" s="8"/>
      <c r="HZ604" s="8"/>
      <c r="IA604" s="8"/>
      <c r="IB604" s="8"/>
      <c r="IC604" s="8"/>
      <c r="ID604" s="8"/>
    </row>
    <row r="605" spans="5:23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8"/>
      <c r="CQ605" s="8"/>
      <c r="CR605" s="8"/>
      <c r="CS605" s="8"/>
      <c r="CT605" s="8"/>
      <c r="CU605" s="8"/>
      <c r="CV605" s="8"/>
      <c r="CW605" s="8"/>
      <c r="CX605" s="8"/>
      <c r="CY605" s="8"/>
      <c r="CZ605" s="8"/>
      <c r="DA605" s="8"/>
      <c r="DB605" s="8"/>
      <c r="DC605" s="8"/>
      <c r="DD605" s="8"/>
      <c r="DE605" s="8"/>
      <c r="DF605" s="8"/>
      <c r="DG605" s="8"/>
      <c r="DH605" s="8"/>
      <c r="DI605" s="8"/>
      <c r="DJ605" s="8"/>
      <c r="DK605" s="8"/>
      <c r="DL605" s="8"/>
      <c r="DM605" s="8"/>
      <c r="DN605" s="8"/>
      <c r="DO605" s="8"/>
      <c r="DP605" s="8"/>
      <c r="DQ605" s="8"/>
      <c r="DR605" s="8"/>
      <c r="DS605" s="8"/>
      <c r="DT605" s="8"/>
      <c r="DU605" s="8"/>
      <c r="DV605" s="8"/>
      <c r="DW605" s="8"/>
      <c r="DX605" s="8"/>
      <c r="DY605" s="8"/>
      <c r="DZ605" s="8"/>
      <c r="EA605" s="8"/>
      <c r="EB605" s="8"/>
      <c r="EC605" s="8"/>
      <c r="ED605" s="8"/>
      <c r="EE605" s="8"/>
      <c r="EF605" s="8"/>
      <c r="EG605" s="8"/>
      <c r="EH605" s="8"/>
      <c r="EI605" s="8"/>
      <c r="EJ605" s="8"/>
      <c r="EK605" s="8"/>
      <c r="EL605" s="8"/>
      <c r="EM605" s="8"/>
      <c r="EN605" s="8"/>
      <c r="EO605" s="8"/>
      <c r="EP605" s="8"/>
      <c r="EQ605" s="8"/>
      <c r="ER605" s="8"/>
      <c r="ES605" s="8"/>
      <c r="ET605" s="8"/>
      <c r="EU605" s="8"/>
      <c r="EV605" s="8"/>
      <c r="EW605" s="8"/>
      <c r="EX605" s="8"/>
      <c r="EY605" s="8"/>
      <c r="EZ605" s="8"/>
      <c r="FA605" s="8"/>
      <c r="FB605" s="8"/>
      <c r="FC605" s="8"/>
      <c r="FD605" s="8"/>
      <c r="FE605" s="8"/>
      <c r="FF605" s="8"/>
      <c r="FG605" s="8"/>
      <c r="FH605" s="8"/>
      <c r="FI605" s="8"/>
      <c r="FJ605" s="8"/>
      <c r="FK605" s="8"/>
      <c r="FL605" s="8"/>
      <c r="FM605" s="8"/>
      <c r="FN605" s="8"/>
      <c r="FO605" s="8"/>
      <c r="FP605" s="8"/>
      <c r="FQ605" s="8"/>
      <c r="FR605" s="8"/>
      <c r="FS605" s="8"/>
      <c r="FT605" s="8"/>
      <c r="FU605" s="8"/>
      <c r="FV605" s="8"/>
      <c r="FW605" s="8"/>
      <c r="FX605" s="8"/>
      <c r="FY605" s="8"/>
      <c r="FZ605" s="8"/>
      <c r="GA605" s="8"/>
      <c r="GB605" s="8"/>
      <c r="GC605" s="8"/>
      <c r="GD605" s="8"/>
      <c r="GE605" s="8"/>
      <c r="GF605" s="8"/>
      <c r="GG605" s="8"/>
      <c r="GH605" s="8"/>
      <c r="GI605" s="8"/>
      <c r="GJ605" s="8"/>
      <c r="GK605" s="8"/>
      <c r="GL605" s="8"/>
      <c r="GM605" s="8"/>
      <c r="GN605" s="8"/>
      <c r="GO605" s="8"/>
      <c r="GP605" s="8"/>
      <c r="GQ605" s="8"/>
      <c r="GR605" s="8"/>
      <c r="GS605" s="8"/>
      <c r="GT605" s="8"/>
      <c r="GU605" s="8"/>
      <c r="GV605" s="8"/>
      <c r="GW605" s="8"/>
      <c r="GX605" s="8"/>
      <c r="GY605" s="8"/>
      <c r="GZ605" s="8"/>
      <c r="HA605" s="8"/>
      <c r="HB605" s="8"/>
      <c r="HC605" s="8"/>
      <c r="HD605" s="8"/>
      <c r="HE605" s="8"/>
      <c r="HF605" s="8"/>
      <c r="HG605" s="8"/>
      <c r="HH605" s="8"/>
      <c r="HI605" s="8"/>
      <c r="HJ605" s="8"/>
      <c r="HK605" s="8"/>
      <c r="HL605" s="8"/>
      <c r="HM605" s="8"/>
      <c r="HN605" s="8"/>
      <c r="HO605" s="8"/>
      <c r="HP605" s="8"/>
      <c r="HQ605" s="8"/>
      <c r="HR605" s="8"/>
      <c r="HS605" s="8"/>
      <c r="HT605" s="8"/>
      <c r="HU605" s="8"/>
      <c r="HV605" s="8"/>
      <c r="HW605" s="8"/>
      <c r="HX605" s="8"/>
      <c r="HY605" s="8"/>
      <c r="HZ605" s="8"/>
      <c r="IA605" s="8"/>
      <c r="IB605" s="8"/>
      <c r="IC605" s="8"/>
      <c r="ID605" s="8"/>
    </row>
    <row r="606" spans="5:23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8"/>
      <c r="EE606" s="8"/>
      <c r="EF606" s="8"/>
      <c r="EG606" s="8"/>
      <c r="EH606" s="8"/>
      <c r="EI606" s="8"/>
      <c r="EJ606" s="8"/>
      <c r="EK606" s="8"/>
      <c r="EL606" s="8"/>
      <c r="EM606" s="8"/>
      <c r="EN606" s="8"/>
      <c r="EO606" s="8"/>
      <c r="EP606" s="8"/>
      <c r="EQ606" s="8"/>
      <c r="ER606" s="8"/>
      <c r="ES606" s="8"/>
      <c r="ET606" s="8"/>
      <c r="EU606" s="8"/>
      <c r="EV606" s="8"/>
      <c r="EW606" s="8"/>
      <c r="EX606" s="8"/>
      <c r="EY606" s="8"/>
      <c r="EZ606" s="8"/>
      <c r="FA606" s="8"/>
      <c r="FB606" s="8"/>
      <c r="FC606" s="8"/>
      <c r="FD606" s="8"/>
      <c r="FE606" s="8"/>
      <c r="FF606" s="8"/>
      <c r="FG606" s="8"/>
      <c r="FH606" s="8"/>
      <c r="FI606" s="8"/>
      <c r="FJ606" s="8"/>
      <c r="FK606" s="8"/>
      <c r="FL606" s="8"/>
      <c r="FM606" s="8"/>
      <c r="FN606" s="8"/>
      <c r="FO606" s="8"/>
      <c r="FP606" s="8"/>
      <c r="FQ606" s="8"/>
      <c r="FR606" s="8"/>
      <c r="FS606" s="8"/>
      <c r="FT606" s="8"/>
      <c r="FU606" s="8"/>
      <c r="FV606" s="8"/>
      <c r="FW606" s="8"/>
      <c r="FX606" s="8"/>
      <c r="FY606" s="8"/>
      <c r="FZ606" s="8"/>
      <c r="GA606" s="8"/>
      <c r="GB606" s="8"/>
      <c r="GC606" s="8"/>
      <c r="GD606" s="8"/>
      <c r="GE606" s="8"/>
      <c r="GF606" s="8"/>
      <c r="GG606" s="8"/>
      <c r="GH606" s="8"/>
      <c r="GI606" s="8"/>
      <c r="GJ606" s="8"/>
      <c r="GK606" s="8"/>
      <c r="GL606" s="8"/>
      <c r="GM606" s="8"/>
      <c r="GN606" s="8"/>
      <c r="GO606" s="8"/>
      <c r="GP606" s="8"/>
      <c r="GQ606" s="8"/>
      <c r="GR606" s="8"/>
      <c r="GS606" s="8"/>
      <c r="GT606" s="8"/>
      <c r="GU606" s="8"/>
      <c r="GV606" s="8"/>
      <c r="GW606" s="8"/>
      <c r="GX606" s="8"/>
      <c r="GY606" s="8"/>
      <c r="GZ606" s="8"/>
      <c r="HA606" s="8"/>
      <c r="HB606" s="8"/>
      <c r="HC606" s="8"/>
      <c r="HD606" s="8"/>
      <c r="HE606" s="8"/>
      <c r="HF606" s="8"/>
      <c r="HG606" s="8"/>
      <c r="HH606" s="8"/>
      <c r="HI606" s="8"/>
      <c r="HJ606" s="8"/>
      <c r="HK606" s="8"/>
      <c r="HL606" s="8"/>
      <c r="HM606" s="8"/>
      <c r="HN606" s="8"/>
      <c r="HO606" s="8"/>
      <c r="HP606" s="8"/>
      <c r="HQ606" s="8"/>
      <c r="HR606" s="8"/>
      <c r="HS606" s="8"/>
      <c r="HT606" s="8"/>
      <c r="HU606" s="8"/>
      <c r="HV606" s="8"/>
      <c r="HW606" s="8"/>
      <c r="HX606" s="8"/>
      <c r="HY606" s="8"/>
      <c r="HZ606" s="8"/>
      <c r="IA606" s="8"/>
      <c r="IB606" s="8"/>
      <c r="IC606" s="8"/>
      <c r="ID606" s="8"/>
    </row>
    <row r="607" spans="5:23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8"/>
      <c r="EE607" s="8"/>
      <c r="EF607" s="8"/>
      <c r="EG607" s="8"/>
      <c r="EH607" s="8"/>
      <c r="EI607" s="8"/>
      <c r="EJ607" s="8"/>
      <c r="EK607" s="8"/>
      <c r="EL607" s="8"/>
      <c r="EM607" s="8"/>
      <c r="EN607" s="8"/>
      <c r="EO607" s="8"/>
      <c r="EP607" s="8"/>
      <c r="EQ607" s="8"/>
      <c r="ER607" s="8"/>
      <c r="ES607" s="8"/>
      <c r="ET607" s="8"/>
      <c r="EU607" s="8"/>
      <c r="EV607" s="8"/>
      <c r="EW607" s="8"/>
      <c r="EX607" s="8"/>
      <c r="EY607" s="8"/>
      <c r="EZ607" s="8"/>
      <c r="FA607" s="8"/>
      <c r="FB607" s="8"/>
      <c r="FC607" s="8"/>
      <c r="FD607" s="8"/>
      <c r="FE607" s="8"/>
      <c r="FF607" s="8"/>
      <c r="FG607" s="8"/>
      <c r="FH607" s="8"/>
      <c r="FI607" s="8"/>
      <c r="FJ607" s="8"/>
      <c r="FK607" s="8"/>
      <c r="FL607" s="8"/>
      <c r="FM607" s="8"/>
      <c r="FN607" s="8"/>
      <c r="FO607" s="8"/>
      <c r="FP607" s="8"/>
      <c r="FQ607" s="8"/>
      <c r="FR607" s="8"/>
      <c r="FS607" s="8"/>
      <c r="FT607" s="8"/>
      <c r="FU607" s="8"/>
      <c r="FV607" s="8"/>
      <c r="FW607" s="8"/>
      <c r="FX607" s="8"/>
      <c r="FY607" s="8"/>
      <c r="FZ607" s="8"/>
      <c r="GA607" s="8"/>
      <c r="GB607" s="8"/>
      <c r="GC607" s="8"/>
      <c r="GD607" s="8"/>
      <c r="GE607" s="8"/>
      <c r="GF607" s="8"/>
      <c r="GG607" s="8"/>
      <c r="GH607" s="8"/>
      <c r="GI607" s="8"/>
      <c r="GJ607" s="8"/>
      <c r="GK607" s="8"/>
      <c r="GL607" s="8"/>
      <c r="GM607" s="8"/>
      <c r="GN607" s="8"/>
      <c r="GO607" s="8"/>
      <c r="GP607" s="8"/>
      <c r="GQ607" s="8"/>
      <c r="GR607" s="8"/>
      <c r="GS607" s="8"/>
      <c r="GT607" s="8"/>
      <c r="GU607" s="8"/>
      <c r="GV607" s="8"/>
      <c r="GW607" s="8"/>
      <c r="GX607" s="8"/>
      <c r="GY607" s="8"/>
      <c r="GZ607" s="8"/>
      <c r="HA607" s="8"/>
      <c r="HB607" s="8"/>
      <c r="HC607" s="8"/>
      <c r="HD607" s="8"/>
      <c r="HE607" s="8"/>
      <c r="HF607" s="8"/>
      <c r="HG607" s="8"/>
      <c r="HH607" s="8"/>
      <c r="HI607" s="8"/>
      <c r="HJ607" s="8"/>
      <c r="HK607" s="8"/>
      <c r="HL607" s="8"/>
      <c r="HM607" s="8"/>
      <c r="HN607" s="8"/>
      <c r="HO607" s="8"/>
      <c r="HP607" s="8"/>
      <c r="HQ607" s="8"/>
      <c r="HR607" s="8"/>
      <c r="HS607" s="8"/>
      <c r="HT607" s="8"/>
      <c r="HU607" s="8"/>
      <c r="HV607" s="8"/>
      <c r="HW607" s="8"/>
      <c r="HX607" s="8"/>
      <c r="HY607" s="8"/>
      <c r="HZ607" s="8"/>
      <c r="IA607" s="8"/>
      <c r="IB607" s="8"/>
      <c r="IC607" s="8"/>
      <c r="ID607" s="8"/>
    </row>
    <row r="608" spans="5:23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8"/>
      <c r="DT608" s="8"/>
      <c r="DU608" s="8"/>
      <c r="DV608" s="8"/>
      <c r="DW608" s="8"/>
      <c r="DX608" s="8"/>
      <c r="DY608" s="8"/>
      <c r="DZ608" s="8"/>
      <c r="EA608" s="8"/>
      <c r="EB608" s="8"/>
      <c r="EC608" s="8"/>
      <c r="ED608" s="8"/>
      <c r="EE608" s="8"/>
      <c r="EF608" s="8"/>
      <c r="EG608" s="8"/>
      <c r="EH608" s="8"/>
      <c r="EI608" s="8"/>
      <c r="EJ608" s="8"/>
      <c r="EK608" s="8"/>
      <c r="EL608" s="8"/>
      <c r="EM608" s="8"/>
      <c r="EN608" s="8"/>
      <c r="EO608" s="8"/>
      <c r="EP608" s="8"/>
      <c r="EQ608" s="8"/>
      <c r="ER608" s="8"/>
      <c r="ES608" s="8"/>
      <c r="ET608" s="8"/>
      <c r="EU608" s="8"/>
      <c r="EV608" s="8"/>
      <c r="EW608" s="8"/>
      <c r="EX608" s="8"/>
      <c r="EY608" s="8"/>
      <c r="EZ608" s="8"/>
      <c r="FA608" s="8"/>
      <c r="FB608" s="8"/>
      <c r="FC608" s="8"/>
      <c r="FD608" s="8"/>
      <c r="FE608" s="8"/>
      <c r="FF608" s="8"/>
      <c r="FG608" s="8"/>
      <c r="FH608" s="8"/>
      <c r="FI608" s="8"/>
      <c r="FJ608" s="8"/>
      <c r="FK608" s="8"/>
      <c r="FL608" s="8"/>
      <c r="FM608" s="8"/>
      <c r="FN608" s="8"/>
      <c r="FO608" s="8"/>
      <c r="FP608" s="8"/>
      <c r="FQ608" s="8"/>
      <c r="FR608" s="8"/>
      <c r="FS608" s="8"/>
      <c r="FT608" s="8"/>
      <c r="FU608" s="8"/>
      <c r="FV608" s="8"/>
      <c r="FW608" s="8"/>
      <c r="FX608" s="8"/>
      <c r="FY608" s="8"/>
      <c r="FZ608" s="8"/>
      <c r="GA608" s="8"/>
      <c r="GB608" s="8"/>
      <c r="GC608" s="8"/>
      <c r="GD608" s="8"/>
      <c r="GE608" s="8"/>
      <c r="GF608" s="8"/>
      <c r="GG608" s="8"/>
      <c r="GH608" s="8"/>
      <c r="GI608" s="8"/>
      <c r="GJ608" s="8"/>
      <c r="GK608" s="8"/>
      <c r="GL608" s="8"/>
      <c r="GM608" s="8"/>
      <c r="GN608" s="8"/>
      <c r="GO608" s="8"/>
      <c r="GP608" s="8"/>
      <c r="GQ608" s="8"/>
      <c r="GR608" s="8"/>
      <c r="GS608" s="8"/>
      <c r="GT608" s="8"/>
      <c r="GU608" s="8"/>
      <c r="GV608" s="8"/>
      <c r="GW608" s="8"/>
      <c r="GX608" s="8"/>
      <c r="GY608" s="8"/>
      <c r="GZ608" s="8"/>
      <c r="HA608" s="8"/>
      <c r="HB608" s="8"/>
      <c r="HC608" s="8"/>
      <c r="HD608" s="8"/>
      <c r="HE608" s="8"/>
      <c r="HF608" s="8"/>
      <c r="HG608" s="8"/>
      <c r="HH608" s="8"/>
      <c r="HI608" s="8"/>
      <c r="HJ608" s="8"/>
      <c r="HK608" s="8"/>
      <c r="HL608" s="8"/>
      <c r="HM608" s="8"/>
      <c r="HN608" s="8"/>
      <c r="HO608" s="8"/>
      <c r="HP608" s="8"/>
      <c r="HQ608" s="8"/>
      <c r="HR608" s="8"/>
      <c r="HS608" s="8"/>
      <c r="HT608" s="8"/>
      <c r="HU608" s="8"/>
      <c r="HV608" s="8"/>
      <c r="HW608" s="8"/>
      <c r="HX608" s="8"/>
      <c r="HY608" s="8"/>
      <c r="HZ608" s="8"/>
      <c r="IA608" s="8"/>
      <c r="IB608" s="8"/>
      <c r="IC608" s="8"/>
      <c r="ID608" s="8"/>
    </row>
    <row r="609" spans="5:23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8"/>
      <c r="DT609" s="8"/>
      <c r="DU609" s="8"/>
      <c r="DV609" s="8"/>
      <c r="DW609" s="8"/>
      <c r="DX609" s="8"/>
      <c r="DY609" s="8"/>
      <c r="DZ609" s="8"/>
      <c r="EA609" s="8"/>
      <c r="EB609" s="8"/>
      <c r="EC609" s="8"/>
      <c r="ED609" s="8"/>
      <c r="EE609" s="8"/>
      <c r="EF609" s="8"/>
      <c r="EG609" s="8"/>
      <c r="EH609" s="8"/>
      <c r="EI609" s="8"/>
      <c r="EJ609" s="8"/>
      <c r="EK609" s="8"/>
      <c r="EL609" s="8"/>
      <c r="EM609" s="8"/>
      <c r="EN609" s="8"/>
      <c r="EO609" s="8"/>
      <c r="EP609" s="8"/>
      <c r="EQ609" s="8"/>
      <c r="ER609" s="8"/>
      <c r="ES609" s="8"/>
      <c r="ET609" s="8"/>
      <c r="EU609" s="8"/>
      <c r="EV609" s="8"/>
      <c r="EW609" s="8"/>
      <c r="EX609" s="8"/>
      <c r="EY609" s="8"/>
      <c r="EZ609" s="8"/>
      <c r="FA609" s="8"/>
      <c r="FB609" s="8"/>
      <c r="FC609" s="8"/>
      <c r="FD609" s="8"/>
      <c r="FE609" s="8"/>
      <c r="FF609" s="8"/>
      <c r="FG609" s="8"/>
      <c r="FH609" s="8"/>
      <c r="FI609" s="8"/>
      <c r="FJ609" s="8"/>
      <c r="FK609" s="8"/>
      <c r="FL609" s="8"/>
      <c r="FM609" s="8"/>
      <c r="FN609" s="8"/>
      <c r="FO609" s="8"/>
      <c r="FP609" s="8"/>
      <c r="FQ609" s="8"/>
      <c r="FR609" s="8"/>
      <c r="FS609" s="8"/>
      <c r="FT609" s="8"/>
      <c r="FU609" s="8"/>
      <c r="FV609" s="8"/>
      <c r="FW609" s="8"/>
      <c r="FX609" s="8"/>
      <c r="FY609" s="8"/>
      <c r="FZ609" s="8"/>
      <c r="GA609" s="8"/>
      <c r="GB609" s="8"/>
      <c r="GC609" s="8"/>
      <c r="GD609" s="8"/>
      <c r="GE609" s="8"/>
      <c r="GF609" s="8"/>
      <c r="GG609" s="8"/>
      <c r="GH609" s="8"/>
      <c r="GI609" s="8"/>
      <c r="GJ609" s="8"/>
      <c r="GK609" s="8"/>
      <c r="GL609" s="8"/>
      <c r="GM609" s="8"/>
      <c r="GN609" s="8"/>
      <c r="GO609" s="8"/>
      <c r="GP609" s="8"/>
      <c r="GQ609" s="8"/>
      <c r="GR609" s="8"/>
      <c r="GS609" s="8"/>
      <c r="GT609" s="8"/>
      <c r="GU609" s="8"/>
      <c r="GV609" s="8"/>
      <c r="GW609" s="8"/>
      <c r="GX609" s="8"/>
      <c r="GY609" s="8"/>
      <c r="GZ609" s="8"/>
      <c r="HA609" s="8"/>
      <c r="HB609" s="8"/>
      <c r="HC609" s="8"/>
      <c r="HD609" s="8"/>
      <c r="HE609" s="8"/>
      <c r="HF609" s="8"/>
      <c r="HG609" s="8"/>
      <c r="HH609" s="8"/>
      <c r="HI609" s="8"/>
      <c r="HJ609" s="8"/>
      <c r="HK609" s="8"/>
      <c r="HL609" s="8"/>
      <c r="HM609" s="8"/>
      <c r="HN609" s="8"/>
      <c r="HO609" s="8"/>
      <c r="HP609" s="8"/>
      <c r="HQ609" s="8"/>
      <c r="HR609" s="8"/>
      <c r="HS609" s="8"/>
      <c r="HT609" s="8"/>
      <c r="HU609" s="8"/>
      <c r="HV609" s="8"/>
      <c r="HW609" s="8"/>
      <c r="HX609" s="8"/>
      <c r="HY609" s="8"/>
      <c r="HZ609" s="8"/>
      <c r="IA609" s="8"/>
      <c r="IB609" s="8"/>
      <c r="IC609" s="8"/>
      <c r="ID609" s="8"/>
    </row>
    <row r="610" spans="5:23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c r="CB610" s="8"/>
      <c r="CC610" s="8"/>
      <c r="CD610" s="8"/>
      <c r="CE610" s="8"/>
      <c r="CF610" s="8"/>
      <c r="CG610" s="8"/>
      <c r="CH610" s="8"/>
      <c r="CI610" s="8"/>
      <c r="CJ610" s="8"/>
      <c r="CK610" s="8"/>
      <c r="CL610" s="8"/>
      <c r="CM610" s="8"/>
      <c r="CN610" s="8"/>
      <c r="CO610" s="8"/>
      <c r="CP610" s="8"/>
      <c r="CQ610" s="8"/>
      <c r="CR610" s="8"/>
      <c r="CS610" s="8"/>
      <c r="CT610" s="8"/>
      <c r="CU610" s="8"/>
      <c r="CV610" s="8"/>
      <c r="CW610" s="8"/>
      <c r="CX610" s="8"/>
      <c r="CY610" s="8"/>
      <c r="CZ610" s="8"/>
      <c r="DA610" s="8"/>
      <c r="DB610" s="8"/>
      <c r="DC610" s="8"/>
      <c r="DD610" s="8"/>
      <c r="DE610" s="8"/>
      <c r="DF610" s="8"/>
      <c r="DG610" s="8"/>
      <c r="DH610" s="8"/>
      <c r="DI610" s="8"/>
      <c r="DJ610" s="8"/>
      <c r="DK610" s="8"/>
      <c r="DL610" s="8"/>
      <c r="DM610" s="8"/>
      <c r="DN610" s="8"/>
      <c r="DO610" s="8"/>
      <c r="DP610" s="8"/>
      <c r="DQ610" s="8"/>
      <c r="DR610" s="8"/>
      <c r="DS610" s="8"/>
      <c r="DT610" s="8"/>
      <c r="DU610" s="8"/>
      <c r="DV610" s="8"/>
      <c r="DW610" s="8"/>
      <c r="DX610" s="8"/>
      <c r="DY610" s="8"/>
      <c r="DZ610" s="8"/>
      <c r="EA610" s="8"/>
      <c r="EB610" s="8"/>
      <c r="EC610" s="8"/>
      <c r="ED610" s="8"/>
      <c r="EE610" s="8"/>
      <c r="EF610" s="8"/>
      <c r="EG610" s="8"/>
      <c r="EH610" s="8"/>
      <c r="EI610" s="8"/>
      <c r="EJ610" s="8"/>
      <c r="EK610" s="8"/>
      <c r="EL610" s="8"/>
      <c r="EM610" s="8"/>
      <c r="EN610" s="8"/>
      <c r="EO610" s="8"/>
      <c r="EP610" s="8"/>
      <c r="EQ610" s="8"/>
      <c r="ER610" s="8"/>
      <c r="ES610" s="8"/>
      <c r="ET610" s="8"/>
      <c r="EU610" s="8"/>
      <c r="EV610" s="8"/>
      <c r="EW610" s="8"/>
      <c r="EX610" s="8"/>
      <c r="EY610" s="8"/>
      <c r="EZ610" s="8"/>
      <c r="FA610" s="8"/>
      <c r="FB610" s="8"/>
      <c r="FC610" s="8"/>
      <c r="FD610" s="8"/>
      <c r="FE610" s="8"/>
      <c r="FF610" s="8"/>
      <c r="FG610" s="8"/>
      <c r="FH610" s="8"/>
      <c r="FI610" s="8"/>
      <c r="FJ610" s="8"/>
      <c r="FK610" s="8"/>
      <c r="FL610" s="8"/>
      <c r="FM610" s="8"/>
      <c r="FN610" s="8"/>
      <c r="FO610" s="8"/>
      <c r="FP610" s="8"/>
      <c r="FQ610" s="8"/>
      <c r="FR610" s="8"/>
      <c r="FS610" s="8"/>
      <c r="FT610" s="8"/>
      <c r="FU610" s="8"/>
      <c r="FV610" s="8"/>
      <c r="FW610" s="8"/>
      <c r="FX610" s="8"/>
      <c r="FY610" s="8"/>
      <c r="FZ610" s="8"/>
      <c r="GA610" s="8"/>
      <c r="GB610" s="8"/>
      <c r="GC610" s="8"/>
      <c r="GD610" s="8"/>
      <c r="GE610" s="8"/>
      <c r="GF610" s="8"/>
      <c r="GG610" s="8"/>
      <c r="GH610" s="8"/>
      <c r="GI610" s="8"/>
      <c r="GJ610" s="8"/>
      <c r="GK610" s="8"/>
      <c r="GL610" s="8"/>
      <c r="GM610" s="8"/>
      <c r="GN610" s="8"/>
      <c r="GO610" s="8"/>
      <c r="GP610" s="8"/>
      <c r="GQ610" s="8"/>
      <c r="GR610" s="8"/>
      <c r="GS610" s="8"/>
      <c r="GT610" s="8"/>
      <c r="GU610" s="8"/>
      <c r="GV610" s="8"/>
      <c r="GW610" s="8"/>
      <c r="GX610" s="8"/>
      <c r="GY610" s="8"/>
      <c r="GZ610" s="8"/>
      <c r="HA610" s="8"/>
      <c r="HB610" s="8"/>
      <c r="HC610" s="8"/>
      <c r="HD610" s="8"/>
      <c r="HE610" s="8"/>
      <c r="HF610" s="8"/>
      <c r="HG610" s="8"/>
      <c r="HH610" s="8"/>
      <c r="HI610" s="8"/>
      <c r="HJ610" s="8"/>
      <c r="HK610" s="8"/>
      <c r="HL610" s="8"/>
      <c r="HM610" s="8"/>
      <c r="HN610" s="8"/>
      <c r="HO610" s="8"/>
      <c r="HP610" s="8"/>
      <c r="HQ610" s="8"/>
      <c r="HR610" s="8"/>
      <c r="HS610" s="8"/>
      <c r="HT610" s="8"/>
      <c r="HU610" s="8"/>
      <c r="HV610" s="8"/>
      <c r="HW610" s="8"/>
      <c r="HX610" s="8"/>
      <c r="HY610" s="8"/>
      <c r="HZ610" s="8"/>
      <c r="IA610" s="8"/>
      <c r="IB610" s="8"/>
      <c r="IC610" s="8"/>
      <c r="ID610" s="8"/>
    </row>
    <row r="611" spans="5:23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c r="CB611" s="8"/>
      <c r="CC611" s="8"/>
      <c r="CD611" s="8"/>
      <c r="CE611" s="8"/>
      <c r="CF611" s="8"/>
      <c r="CG611" s="8"/>
      <c r="CH611" s="8"/>
      <c r="CI611" s="8"/>
      <c r="CJ611" s="8"/>
      <c r="CK611" s="8"/>
      <c r="CL611" s="8"/>
      <c r="CM611" s="8"/>
      <c r="CN611" s="8"/>
      <c r="CO611" s="8"/>
      <c r="CP611" s="8"/>
      <c r="CQ611" s="8"/>
      <c r="CR611" s="8"/>
      <c r="CS611" s="8"/>
      <c r="CT611" s="8"/>
      <c r="CU611" s="8"/>
      <c r="CV611" s="8"/>
      <c r="CW611" s="8"/>
      <c r="CX611" s="8"/>
      <c r="CY611" s="8"/>
      <c r="CZ611" s="8"/>
      <c r="DA611" s="8"/>
      <c r="DB611" s="8"/>
      <c r="DC611" s="8"/>
      <c r="DD611" s="8"/>
      <c r="DE611" s="8"/>
      <c r="DF611" s="8"/>
      <c r="DG611" s="8"/>
      <c r="DH611" s="8"/>
      <c r="DI611" s="8"/>
      <c r="DJ611" s="8"/>
      <c r="DK611" s="8"/>
      <c r="DL611" s="8"/>
      <c r="DM611" s="8"/>
      <c r="DN611" s="8"/>
      <c r="DO611" s="8"/>
      <c r="DP611" s="8"/>
      <c r="DQ611" s="8"/>
      <c r="DR611" s="8"/>
      <c r="DS611" s="8"/>
      <c r="DT611" s="8"/>
      <c r="DU611" s="8"/>
      <c r="DV611" s="8"/>
      <c r="DW611" s="8"/>
      <c r="DX611" s="8"/>
      <c r="DY611" s="8"/>
      <c r="DZ611" s="8"/>
      <c r="EA611" s="8"/>
      <c r="EB611" s="8"/>
      <c r="EC611" s="8"/>
      <c r="ED611" s="8"/>
      <c r="EE611" s="8"/>
      <c r="EF611" s="8"/>
      <c r="EG611" s="8"/>
      <c r="EH611" s="8"/>
      <c r="EI611" s="8"/>
      <c r="EJ611" s="8"/>
      <c r="EK611" s="8"/>
      <c r="EL611" s="8"/>
      <c r="EM611" s="8"/>
      <c r="EN611" s="8"/>
      <c r="EO611" s="8"/>
      <c r="EP611" s="8"/>
      <c r="EQ611" s="8"/>
      <c r="ER611" s="8"/>
      <c r="ES611" s="8"/>
      <c r="ET611" s="8"/>
      <c r="EU611" s="8"/>
      <c r="EV611" s="8"/>
      <c r="EW611" s="8"/>
      <c r="EX611" s="8"/>
      <c r="EY611" s="8"/>
      <c r="EZ611" s="8"/>
      <c r="FA611" s="8"/>
      <c r="FB611" s="8"/>
      <c r="FC611" s="8"/>
      <c r="FD611" s="8"/>
      <c r="FE611" s="8"/>
      <c r="FF611" s="8"/>
      <c r="FG611" s="8"/>
      <c r="FH611" s="8"/>
      <c r="FI611" s="8"/>
      <c r="FJ611" s="8"/>
      <c r="FK611" s="8"/>
      <c r="FL611" s="8"/>
      <c r="FM611" s="8"/>
      <c r="FN611" s="8"/>
      <c r="FO611" s="8"/>
      <c r="FP611" s="8"/>
      <c r="FQ611" s="8"/>
      <c r="FR611" s="8"/>
      <c r="FS611" s="8"/>
      <c r="FT611" s="8"/>
      <c r="FU611" s="8"/>
      <c r="FV611" s="8"/>
      <c r="FW611" s="8"/>
      <c r="FX611" s="8"/>
      <c r="FY611" s="8"/>
      <c r="FZ611" s="8"/>
      <c r="GA611" s="8"/>
      <c r="GB611" s="8"/>
      <c r="GC611" s="8"/>
      <c r="GD611" s="8"/>
      <c r="GE611" s="8"/>
      <c r="GF611" s="8"/>
      <c r="GG611" s="8"/>
      <c r="GH611" s="8"/>
      <c r="GI611" s="8"/>
      <c r="GJ611" s="8"/>
      <c r="GK611" s="8"/>
      <c r="GL611" s="8"/>
      <c r="GM611" s="8"/>
      <c r="GN611" s="8"/>
      <c r="GO611" s="8"/>
      <c r="GP611" s="8"/>
      <c r="GQ611" s="8"/>
      <c r="GR611" s="8"/>
      <c r="GS611" s="8"/>
      <c r="GT611" s="8"/>
      <c r="GU611" s="8"/>
      <c r="GV611" s="8"/>
      <c r="GW611" s="8"/>
      <c r="GX611" s="8"/>
      <c r="GY611" s="8"/>
      <c r="GZ611" s="8"/>
      <c r="HA611" s="8"/>
      <c r="HB611" s="8"/>
      <c r="HC611" s="8"/>
      <c r="HD611" s="8"/>
      <c r="HE611" s="8"/>
      <c r="HF611" s="8"/>
      <c r="HG611" s="8"/>
      <c r="HH611" s="8"/>
      <c r="HI611" s="8"/>
      <c r="HJ611" s="8"/>
      <c r="HK611" s="8"/>
      <c r="HL611" s="8"/>
      <c r="HM611" s="8"/>
      <c r="HN611" s="8"/>
      <c r="HO611" s="8"/>
      <c r="HP611" s="8"/>
      <c r="HQ611" s="8"/>
      <c r="HR611" s="8"/>
      <c r="HS611" s="8"/>
      <c r="HT611" s="8"/>
      <c r="HU611" s="8"/>
      <c r="HV611" s="8"/>
      <c r="HW611" s="8"/>
      <c r="HX611" s="8"/>
      <c r="HY611" s="8"/>
      <c r="HZ611" s="8"/>
      <c r="IA611" s="8"/>
      <c r="IB611" s="8"/>
      <c r="IC611" s="8"/>
      <c r="ID611" s="8"/>
    </row>
    <row r="612" spans="5:23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c r="DI612" s="8"/>
      <c r="DJ612" s="8"/>
      <c r="DK612" s="8"/>
      <c r="DL612" s="8"/>
      <c r="DM612" s="8"/>
      <c r="DN612" s="8"/>
      <c r="DO612" s="8"/>
      <c r="DP612" s="8"/>
      <c r="DQ612" s="8"/>
      <c r="DR612" s="8"/>
      <c r="DS612" s="8"/>
      <c r="DT612" s="8"/>
      <c r="DU612" s="8"/>
      <c r="DV612" s="8"/>
      <c r="DW612" s="8"/>
      <c r="DX612" s="8"/>
      <c r="DY612" s="8"/>
      <c r="DZ612" s="8"/>
      <c r="EA612" s="8"/>
      <c r="EB612" s="8"/>
      <c r="EC612" s="8"/>
      <c r="ED612" s="8"/>
      <c r="EE612" s="8"/>
      <c r="EF612" s="8"/>
      <c r="EG612" s="8"/>
      <c r="EH612" s="8"/>
      <c r="EI612" s="8"/>
      <c r="EJ612" s="8"/>
      <c r="EK612" s="8"/>
      <c r="EL612" s="8"/>
      <c r="EM612" s="8"/>
      <c r="EN612" s="8"/>
      <c r="EO612" s="8"/>
      <c r="EP612" s="8"/>
      <c r="EQ612" s="8"/>
      <c r="ER612" s="8"/>
      <c r="ES612" s="8"/>
      <c r="ET612" s="8"/>
      <c r="EU612" s="8"/>
      <c r="EV612" s="8"/>
      <c r="EW612" s="8"/>
      <c r="EX612" s="8"/>
      <c r="EY612" s="8"/>
      <c r="EZ612" s="8"/>
      <c r="FA612" s="8"/>
      <c r="FB612" s="8"/>
      <c r="FC612" s="8"/>
      <c r="FD612" s="8"/>
      <c r="FE612" s="8"/>
      <c r="FF612" s="8"/>
      <c r="FG612" s="8"/>
      <c r="FH612" s="8"/>
      <c r="FI612" s="8"/>
      <c r="FJ612" s="8"/>
      <c r="FK612" s="8"/>
      <c r="FL612" s="8"/>
      <c r="FM612" s="8"/>
      <c r="FN612" s="8"/>
      <c r="FO612" s="8"/>
      <c r="FP612" s="8"/>
      <c r="FQ612" s="8"/>
      <c r="FR612" s="8"/>
      <c r="FS612" s="8"/>
      <c r="FT612" s="8"/>
      <c r="FU612" s="8"/>
      <c r="FV612" s="8"/>
      <c r="FW612" s="8"/>
      <c r="FX612" s="8"/>
      <c r="FY612" s="8"/>
      <c r="FZ612" s="8"/>
      <c r="GA612" s="8"/>
      <c r="GB612" s="8"/>
      <c r="GC612" s="8"/>
      <c r="GD612" s="8"/>
      <c r="GE612" s="8"/>
      <c r="GF612" s="8"/>
      <c r="GG612" s="8"/>
      <c r="GH612" s="8"/>
      <c r="GI612" s="8"/>
      <c r="GJ612" s="8"/>
      <c r="GK612" s="8"/>
      <c r="GL612" s="8"/>
      <c r="GM612" s="8"/>
      <c r="GN612" s="8"/>
      <c r="GO612" s="8"/>
      <c r="GP612" s="8"/>
      <c r="GQ612" s="8"/>
      <c r="GR612" s="8"/>
      <c r="GS612" s="8"/>
      <c r="GT612" s="8"/>
      <c r="GU612" s="8"/>
      <c r="GV612" s="8"/>
      <c r="GW612" s="8"/>
      <c r="GX612" s="8"/>
      <c r="GY612" s="8"/>
      <c r="GZ612" s="8"/>
      <c r="HA612" s="8"/>
      <c r="HB612" s="8"/>
      <c r="HC612" s="8"/>
      <c r="HD612" s="8"/>
      <c r="HE612" s="8"/>
      <c r="HF612" s="8"/>
      <c r="HG612" s="8"/>
      <c r="HH612" s="8"/>
      <c r="HI612" s="8"/>
      <c r="HJ612" s="8"/>
      <c r="HK612" s="8"/>
      <c r="HL612" s="8"/>
      <c r="HM612" s="8"/>
      <c r="HN612" s="8"/>
      <c r="HO612" s="8"/>
      <c r="HP612" s="8"/>
      <c r="HQ612" s="8"/>
      <c r="HR612" s="8"/>
      <c r="HS612" s="8"/>
      <c r="HT612" s="8"/>
      <c r="HU612" s="8"/>
      <c r="HV612" s="8"/>
      <c r="HW612" s="8"/>
      <c r="HX612" s="8"/>
      <c r="HY612" s="8"/>
      <c r="HZ612" s="8"/>
      <c r="IA612" s="8"/>
      <c r="IB612" s="8"/>
      <c r="IC612" s="8"/>
      <c r="ID612" s="8"/>
    </row>
    <row r="613" spans="5:23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c r="DI613" s="8"/>
      <c r="DJ613" s="8"/>
      <c r="DK613" s="8"/>
      <c r="DL613" s="8"/>
      <c r="DM613" s="8"/>
      <c r="DN613" s="8"/>
      <c r="DO613" s="8"/>
      <c r="DP613" s="8"/>
      <c r="DQ613" s="8"/>
      <c r="DR613" s="8"/>
      <c r="DS613" s="8"/>
      <c r="DT613" s="8"/>
      <c r="DU613" s="8"/>
      <c r="DV613" s="8"/>
      <c r="DW613" s="8"/>
      <c r="DX613" s="8"/>
      <c r="DY613" s="8"/>
      <c r="DZ613" s="8"/>
      <c r="EA613" s="8"/>
      <c r="EB613" s="8"/>
      <c r="EC613" s="8"/>
      <c r="ED613" s="8"/>
      <c r="EE613" s="8"/>
      <c r="EF613" s="8"/>
      <c r="EG613" s="8"/>
      <c r="EH613" s="8"/>
      <c r="EI613" s="8"/>
      <c r="EJ613" s="8"/>
      <c r="EK613" s="8"/>
      <c r="EL613" s="8"/>
      <c r="EM613" s="8"/>
      <c r="EN613" s="8"/>
      <c r="EO613" s="8"/>
      <c r="EP613" s="8"/>
      <c r="EQ613" s="8"/>
      <c r="ER613" s="8"/>
      <c r="ES613" s="8"/>
      <c r="ET613" s="8"/>
      <c r="EU613" s="8"/>
      <c r="EV613" s="8"/>
      <c r="EW613" s="8"/>
      <c r="EX613" s="8"/>
      <c r="EY613" s="8"/>
      <c r="EZ613" s="8"/>
      <c r="FA613" s="8"/>
      <c r="FB613" s="8"/>
      <c r="FC613" s="8"/>
      <c r="FD613" s="8"/>
      <c r="FE613" s="8"/>
      <c r="FF613" s="8"/>
      <c r="FG613" s="8"/>
      <c r="FH613" s="8"/>
      <c r="FI613" s="8"/>
      <c r="FJ613" s="8"/>
      <c r="FK613" s="8"/>
      <c r="FL613" s="8"/>
      <c r="FM613" s="8"/>
      <c r="FN613" s="8"/>
      <c r="FO613" s="8"/>
      <c r="FP613" s="8"/>
      <c r="FQ613" s="8"/>
      <c r="FR613" s="8"/>
      <c r="FS613" s="8"/>
      <c r="FT613" s="8"/>
      <c r="FU613" s="8"/>
      <c r="FV613" s="8"/>
      <c r="FW613" s="8"/>
      <c r="FX613" s="8"/>
      <c r="FY613" s="8"/>
      <c r="FZ613" s="8"/>
      <c r="GA613" s="8"/>
      <c r="GB613" s="8"/>
      <c r="GC613" s="8"/>
      <c r="GD613" s="8"/>
      <c r="GE613" s="8"/>
      <c r="GF613" s="8"/>
      <c r="GG613" s="8"/>
      <c r="GH613" s="8"/>
      <c r="GI613" s="8"/>
      <c r="GJ613" s="8"/>
      <c r="GK613" s="8"/>
      <c r="GL613" s="8"/>
      <c r="GM613" s="8"/>
      <c r="GN613" s="8"/>
      <c r="GO613" s="8"/>
      <c r="GP613" s="8"/>
      <c r="GQ613" s="8"/>
      <c r="GR613" s="8"/>
      <c r="GS613" s="8"/>
      <c r="GT613" s="8"/>
      <c r="GU613" s="8"/>
      <c r="GV613" s="8"/>
      <c r="GW613" s="8"/>
      <c r="GX613" s="8"/>
      <c r="GY613" s="8"/>
      <c r="GZ613" s="8"/>
      <c r="HA613" s="8"/>
      <c r="HB613" s="8"/>
      <c r="HC613" s="8"/>
      <c r="HD613" s="8"/>
      <c r="HE613" s="8"/>
      <c r="HF613" s="8"/>
      <c r="HG613" s="8"/>
      <c r="HH613" s="8"/>
      <c r="HI613" s="8"/>
      <c r="HJ613" s="8"/>
      <c r="HK613" s="8"/>
      <c r="HL613" s="8"/>
      <c r="HM613" s="8"/>
      <c r="HN613" s="8"/>
      <c r="HO613" s="8"/>
      <c r="HP613" s="8"/>
      <c r="HQ613" s="8"/>
      <c r="HR613" s="8"/>
      <c r="HS613" s="8"/>
      <c r="HT613" s="8"/>
      <c r="HU613" s="8"/>
      <c r="HV613" s="8"/>
      <c r="HW613" s="8"/>
      <c r="HX613" s="8"/>
      <c r="HY613" s="8"/>
      <c r="HZ613" s="8"/>
      <c r="IA613" s="8"/>
      <c r="IB613" s="8"/>
      <c r="IC613" s="8"/>
      <c r="ID613" s="8"/>
    </row>
    <row r="614" spans="5:23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8"/>
      <c r="EE614" s="8"/>
      <c r="EF614" s="8"/>
      <c r="EG614" s="8"/>
      <c r="EH614" s="8"/>
      <c r="EI614" s="8"/>
      <c r="EJ614" s="8"/>
      <c r="EK614" s="8"/>
      <c r="EL614" s="8"/>
      <c r="EM614" s="8"/>
      <c r="EN614" s="8"/>
      <c r="EO614" s="8"/>
      <c r="EP614" s="8"/>
      <c r="EQ614" s="8"/>
      <c r="ER614" s="8"/>
      <c r="ES614" s="8"/>
      <c r="ET614" s="8"/>
      <c r="EU614" s="8"/>
      <c r="EV614" s="8"/>
      <c r="EW614" s="8"/>
      <c r="EX614" s="8"/>
      <c r="EY614" s="8"/>
      <c r="EZ614" s="8"/>
      <c r="FA614" s="8"/>
      <c r="FB614" s="8"/>
      <c r="FC614" s="8"/>
      <c r="FD614" s="8"/>
      <c r="FE614" s="8"/>
      <c r="FF614" s="8"/>
      <c r="FG614" s="8"/>
      <c r="FH614" s="8"/>
      <c r="FI614" s="8"/>
      <c r="FJ614" s="8"/>
      <c r="FK614" s="8"/>
      <c r="FL614" s="8"/>
      <c r="FM614" s="8"/>
      <c r="FN614" s="8"/>
      <c r="FO614" s="8"/>
      <c r="FP614" s="8"/>
      <c r="FQ614" s="8"/>
      <c r="FR614" s="8"/>
      <c r="FS614" s="8"/>
      <c r="FT614" s="8"/>
      <c r="FU614" s="8"/>
      <c r="FV614" s="8"/>
      <c r="FW614" s="8"/>
      <c r="FX614" s="8"/>
      <c r="FY614" s="8"/>
      <c r="FZ614" s="8"/>
      <c r="GA614" s="8"/>
      <c r="GB614" s="8"/>
      <c r="GC614" s="8"/>
      <c r="GD614" s="8"/>
      <c r="GE614" s="8"/>
      <c r="GF614" s="8"/>
      <c r="GG614" s="8"/>
      <c r="GH614" s="8"/>
      <c r="GI614" s="8"/>
      <c r="GJ614" s="8"/>
      <c r="GK614" s="8"/>
      <c r="GL614" s="8"/>
      <c r="GM614" s="8"/>
      <c r="GN614" s="8"/>
      <c r="GO614" s="8"/>
      <c r="GP614" s="8"/>
      <c r="GQ614" s="8"/>
      <c r="GR614" s="8"/>
      <c r="GS614" s="8"/>
      <c r="GT614" s="8"/>
      <c r="GU614" s="8"/>
      <c r="GV614" s="8"/>
      <c r="GW614" s="8"/>
      <c r="GX614" s="8"/>
      <c r="GY614" s="8"/>
      <c r="GZ614" s="8"/>
      <c r="HA614" s="8"/>
      <c r="HB614" s="8"/>
      <c r="HC614" s="8"/>
      <c r="HD614" s="8"/>
      <c r="HE614" s="8"/>
      <c r="HF614" s="8"/>
      <c r="HG614" s="8"/>
      <c r="HH614" s="8"/>
      <c r="HI614" s="8"/>
      <c r="HJ614" s="8"/>
      <c r="HK614" s="8"/>
      <c r="HL614" s="8"/>
      <c r="HM614" s="8"/>
      <c r="HN614" s="8"/>
      <c r="HO614" s="8"/>
      <c r="HP614" s="8"/>
      <c r="HQ614" s="8"/>
      <c r="HR614" s="8"/>
      <c r="HS614" s="8"/>
      <c r="HT614" s="8"/>
      <c r="HU614" s="8"/>
      <c r="HV614" s="8"/>
      <c r="HW614" s="8"/>
      <c r="HX614" s="8"/>
      <c r="HY614" s="8"/>
      <c r="HZ614" s="8"/>
      <c r="IA614" s="8"/>
      <c r="IB614" s="8"/>
      <c r="IC614" s="8"/>
      <c r="ID614" s="8"/>
    </row>
    <row r="615" spans="5:23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8"/>
      <c r="EE615" s="8"/>
      <c r="EF615" s="8"/>
      <c r="EG615" s="8"/>
      <c r="EH615" s="8"/>
      <c r="EI615" s="8"/>
      <c r="EJ615" s="8"/>
      <c r="EK615" s="8"/>
      <c r="EL615" s="8"/>
      <c r="EM615" s="8"/>
      <c r="EN615" s="8"/>
      <c r="EO615" s="8"/>
      <c r="EP615" s="8"/>
      <c r="EQ615" s="8"/>
      <c r="ER615" s="8"/>
      <c r="ES615" s="8"/>
      <c r="ET615" s="8"/>
      <c r="EU615" s="8"/>
      <c r="EV615" s="8"/>
      <c r="EW615" s="8"/>
      <c r="EX615" s="8"/>
      <c r="EY615" s="8"/>
      <c r="EZ615" s="8"/>
      <c r="FA615" s="8"/>
      <c r="FB615" s="8"/>
      <c r="FC615" s="8"/>
      <c r="FD615" s="8"/>
      <c r="FE615" s="8"/>
      <c r="FF615" s="8"/>
      <c r="FG615" s="8"/>
      <c r="FH615" s="8"/>
      <c r="FI615" s="8"/>
      <c r="FJ615" s="8"/>
      <c r="FK615" s="8"/>
      <c r="FL615" s="8"/>
      <c r="FM615" s="8"/>
      <c r="FN615" s="8"/>
      <c r="FO615" s="8"/>
      <c r="FP615" s="8"/>
      <c r="FQ615" s="8"/>
      <c r="FR615" s="8"/>
      <c r="FS615" s="8"/>
      <c r="FT615" s="8"/>
      <c r="FU615" s="8"/>
      <c r="FV615" s="8"/>
      <c r="FW615" s="8"/>
      <c r="FX615" s="8"/>
      <c r="FY615" s="8"/>
      <c r="FZ615" s="8"/>
      <c r="GA615" s="8"/>
      <c r="GB615" s="8"/>
      <c r="GC615" s="8"/>
      <c r="GD615" s="8"/>
      <c r="GE615" s="8"/>
      <c r="GF615" s="8"/>
      <c r="GG615" s="8"/>
      <c r="GH615" s="8"/>
      <c r="GI615" s="8"/>
      <c r="GJ615" s="8"/>
      <c r="GK615" s="8"/>
      <c r="GL615" s="8"/>
      <c r="GM615" s="8"/>
      <c r="GN615" s="8"/>
      <c r="GO615" s="8"/>
      <c r="GP615" s="8"/>
      <c r="GQ615" s="8"/>
      <c r="GR615" s="8"/>
      <c r="GS615" s="8"/>
      <c r="GT615" s="8"/>
      <c r="GU615" s="8"/>
      <c r="GV615" s="8"/>
      <c r="GW615" s="8"/>
      <c r="GX615" s="8"/>
      <c r="GY615" s="8"/>
      <c r="GZ615" s="8"/>
      <c r="HA615" s="8"/>
      <c r="HB615" s="8"/>
      <c r="HC615" s="8"/>
      <c r="HD615" s="8"/>
      <c r="HE615" s="8"/>
      <c r="HF615" s="8"/>
      <c r="HG615" s="8"/>
      <c r="HH615" s="8"/>
      <c r="HI615" s="8"/>
      <c r="HJ615" s="8"/>
      <c r="HK615" s="8"/>
      <c r="HL615" s="8"/>
      <c r="HM615" s="8"/>
      <c r="HN615" s="8"/>
      <c r="HO615" s="8"/>
      <c r="HP615" s="8"/>
      <c r="HQ615" s="8"/>
      <c r="HR615" s="8"/>
      <c r="HS615" s="8"/>
      <c r="HT615" s="8"/>
      <c r="HU615" s="8"/>
      <c r="HV615" s="8"/>
      <c r="HW615" s="8"/>
      <c r="HX615" s="8"/>
      <c r="HY615" s="8"/>
      <c r="HZ615" s="8"/>
      <c r="IA615" s="8"/>
      <c r="IB615" s="8"/>
      <c r="IC615" s="8"/>
      <c r="ID615" s="8"/>
    </row>
    <row r="616" spans="5:23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c r="CB616" s="8"/>
      <c r="CC616" s="8"/>
      <c r="CD616" s="8"/>
      <c r="CE616" s="8"/>
      <c r="CF616" s="8"/>
      <c r="CG616" s="8"/>
      <c r="CH616" s="8"/>
      <c r="CI616" s="8"/>
      <c r="CJ616" s="8"/>
      <c r="CK616" s="8"/>
      <c r="CL616" s="8"/>
      <c r="CM616" s="8"/>
      <c r="CN616" s="8"/>
      <c r="CO616" s="8"/>
      <c r="CP616" s="8"/>
      <c r="CQ616" s="8"/>
      <c r="CR616" s="8"/>
      <c r="CS616" s="8"/>
      <c r="CT616" s="8"/>
      <c r="CU616" s="8"/>
      <c r="CV616" s="8"/>
      <c r="CW616" s="8"/>
      <c r="CX616" s="8"/>
      <c r="CY616" s="8"/>
      <c r="CZ616" s="8"/>
      <c r="DA616" s="8"/>
      <c r="DB616" s="8"/>
      <c r="DC616" s="8"/>
      <c r="DD616" s="8"/>
      <c r="DE616" s="8"/>
      <c r="DF616" s="8"/>
      <c r="DG616" s="8"/>
      <c r="DH616" s="8"/>
      <c r="DI616" s="8"/>
      <c r="DJ616" s="8"/>
      <c r="DK616" s="8"/>
      <c r="DL616" s="8"/>
      <c r="DM616" s="8"/>
      <c r="DN616" s="8"/>
      <c r="DO616" s="8"/>
      <c r="DP616" s="8"/>
      <c r="DQ616" s="8"/>
      <c r="DR616" s="8"/>
      <c r="DS616" s="8"/>
      <c r="DT616" s="8"/>
      <c r="DU616" s="8"/>
      <c r="DV616" s="8"/>
      <c r="DW616" s="8"/>
      <c r="DX616" s="8"/>
      <c r="DY616" s="8"/>
      <c r="DZ616" s="8"/>
      <c r="EA616" s="8"/>
      <c r="EB616" s="8"/>
      <c r="EC616" s="8"/>
      <c r="ED616" s="8"/>
      <c r="EE616" s="8"/>
      <c r="EF616" s="8"/>
      <c r="EG616" s="8"/>
      <c r="EH616" s="8"/>
      <c r="EI616" s="8"/>
      <c r="EJ616" s="8"/>
      <c r="EK616" s="8"/>
      <c r="EL616" s="8"/>
      <c r="EM616" s="8"/>
      <c r="EN616" s="8"/>
      <c r="EO616" s="8"/>
      <c r="EP616" s="8"/>
      <c r="EQ616" s="8"/>
      <c r="ER616" s="8"/>
      <c r="ES616" s="8"/>
      <c r="ET616" s="8"/>
      <c r="EU616" s="8"/>
      <c r="EV616" s="8"/>
      <c r="EW616" s="8"/>
      <c r="EX616" s="8"/>
      <c r="EY616" s="8"/>
      <c r="EZ616" s="8"/>
      <c r="FA616" s="8"/>
      <c r="FB616" s="8"/>
      <c r="FC616" s="8"/>
      <c r="FD616" s="8"/>
      <c r="FE616" s="8"/>
      <c r="FF616" s="8"/>
      <c r="FG616" s="8"/>
      <c r="FH616" s="8"/>
      <c r="FI616" s="8"/>
      <c r="FJ616" s="8"/>
      <c r="FK616" s="8"/>
      <c r="FL616" s="8"/>
      <c r="FM616" s="8"/>
      <c r="FN616" s="8"/>
      <c r="FO616" s="8"/>
      <c r="FP616" s="8"/>
      <c r="FQ616" s="8"/>
      <c r="FR616" s="8"/>
      <c r="FS616" s="8"/>
      <c r="FT616" s="8"/>
      <c r="FU616" s="8"/>
      <c r="FV616" s="8"/>
      <c r="FW616" s="8"/>
      <c r="FX616" s="8"/>
      <c r="FY616" s="8"/>
      <c r="FZ616" s="8"/>
      <c r="GA616" s="8"/>
      <c r="GB616" s="8"/>
      <c r="GC616" s="8"/>
      <c r="GD616" s="8"/>
      <c r="GE616" s="8"/>
      <c r="GF616" s="8"/>
      <c r="GG616" s="8"/>
      <c r="GH616" s="8"/>
      <c r="GI616" s="8"/>
      <c r="GJ616" s="8"/>
      <c r="GK616" s="8"/>
      <c r="GL616" s="8"/>
      <c r="GM616" s="8"/>
      <c r="GN616" s="8"/>
      <c r="GO616" s="8"/>
      <c r="GP616" s="8"/>
      <c r="GQ616" s="8"/>
      <c r="GR616" s="8"/>
      <c r="GS616" s="8"/>
      <c r="GT616" s="8"/>
      <c r="GU616" s="8"/>
      <c r="GV616" s="8"/>
      <c r="GW616" s="8"/>
      <c r="GX616" s="8"/>
      <c r="GY616" s="8"/>
      <c r="GZ616" s="8"/>
      <c r="HA616" s="8"/>
      <c r="HB616" s="8"/>
      <c r="HC616" s="8"/>
      <c r="HD616" s="8"/>
      <c r="HE616" s="8"/>
      <c r="HF616" s="8"/>
      <c r="HG616" s="8"/>
      <c r="HH616" s="8"/>
      <c r="HI616" s="8"/>
      <c r="HJ616" s="8"/>
      <c r="HK616" s="8"/>
      <c r="HL616" s="8"/>
      <c r="HM616" s="8"/>
      <c r="HN616" s="8"/>
      <c r="HO616" s="8"/>
      <c r="HP616" s="8"/>
      <c r="HQ616" s="8"/>
      <c r="HR616" s="8"/>
      <c r="HS616" s="8"/>
      <c r="HT616" s="8"/>
      <c r="HU616" s="8"/>
      <c r="HV616" s="8"/>
      <c r="HW616" s="8"/>
      <c r="HX616" s="8"/>
      <c r="HY616" s="8"/>
      <c r="HZ616" s="8"/>
      <c r="IA616" s="8"/>
      <c r="IB616" s="8"/>
      <c r="IC616" s="8"/>
      <c r="ID616" s="8"/>
    </row>
    <row r="617" spans="5:23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c r="CB617" s="8"/>
      <c r="CC617" s="8"/>
      <c r="CD617" s="8"/>
      <c r="CE617" s="8"/>
      <c r="CF617" s="8"/>
      <c r="CG617" s="8"/>
      <c r="CH617" s="8"/>
      <c r="CI617" s="8"/>
      <c r="CJ617" s="8"/>
      <c r="CK617" s="8"/>
      <c r="CL617" s="8"/>
      <c r="CM617" s="8"/>
      <c r="CN617" s="8"/>
      <c r="CO617" s="8"/>
      <c r="CP617" s="8"/>
      <c r="CQ617" s="8"/>
      <c r="CR617" s="8"/>
      <c r="CS617" s="8"/>
      <c r="CT617" s="8"/>
      <c r="CU617" s="8"/>
      <c r="CV617" s="8"/>
      <c r="CW617" s="8"/>
      <c r="CX617" s="8"/>
      <c r="CY617" s="8"/>
      <c r="CZ617" s="8"/>
      <c r="DA617" s="8"/>
      <c r="DB617" s="8"/>
      <c r="DC617" s="8"/>
      <c r="DD617" s="8"/>
      <c r="DE617" s="8"/>
      <c r="DF617" s="8"/>
      <c r="DG617" s="8"/>
      <c r="DH617" s="8"/>
      <c r="DI617" s="8"/>
      <c r="DJ617" s="8"/>
      <c r="DK617" s="8"/>
      <c r="DL617" s="8"/>
      <c r="DM617" s="8"/>
      <c r="DN617" s="8"/>
      <c r="DO617" s="8"/>
      <c r="DP617" s="8"/>
      <c r="DQ617" s="8"/>
      <c r="DR617" s="8"/>
      <c r="DS617" s="8"/>
      <c r="DT617" s="8"/>
      <c r="DU617" s="8"/>
      <c r="DV617" s="8"/>
      <c r="DW617" s="8"/>
      <c r="DX617" s="8"/>
      <c r="DY617" s="8"/>
      <c r="DZ617" s="8"/>
      <c r="EA617" s="8"/>
      <c r="EB617" s="8"/>
      <c r="EC617" s="8"/>
      <c r="ED617" s="8"/>
      <c r="EE617" s="8"/>
      <c r="EF617" s="8"/>
      <c r="EG617" s="8"/>
      <c r="EH617" s="8"/>
      <c r="EI617" s="8"/>
      <c r="EJ617" s="8"/>
      <c r="EK617" s="8"/>
      <c r="EL617" s="8"/>
      <c r="EM617" s="8"/>
      <c r="EN617" s="8"/>
      <c r="EO617" s="8"/>
      <c r="EP617" s="8"/>
      <c r="EQ617" s="8"/>
      <c r="ER617" s="8"/>
      <c r="ES617" s="8"/>
      <c r="ET617" s="8"/>
      <c r="EU617" s="8"/>
      <c r="EV617" s="8"/>
      <c r="EW617" s="8"/>
      <c r="EX617" s="8"/>
      <c r="EY617" s="8"/>
      <c r="EZ617" s="8"/>
      <c r="FA617" s="8"/>
      <c r="FB617" s="8"/>
      <c r="FC617" s="8"/>
      <c r="FD617" s="8"/>
      <c r="FE617" s="8"/>
      <c r="FF617" s="8"/>
      <c r="FG617" s="8"/>
      <c r="FH617" s="8"/>
      <c r="FI617" s="8"/>
      <c r="FJ617" s="8"/>
      <c r="FK617" s="8"/>
      <c r="FL617" s="8"/>
      <c r="FM617" s="8"/>
      <c r="FN617" s="8"/>
      <c r="FO617" s="8"/>
      <c r="FP617" s="8"/>
      <c r="FQ617" s="8"/>
      <c r="FR617" s="8"/>
      <c r="FS617" s="8"/>
      <c r="FT617" s="8"/>
      <c r="FU617" s="8"/>
      <c r="FV617" s="8"/>
      <c r="FW617" s="8"/>
      <c r="FX617" s="8"/>
      <c r="FY617" s="8"/>
      <c r="FZ617" s="8"/>
      <c r="GA617" s="8"/>
      <c r="GB617" s="8"/>
      <c r="GC617" s="8"/>
      <c r="GD617" s="8"/>
      <c r="GE617" s="8"/>
      <c r="GF617" s="8"/>
      <c r="GG617" s="8"/>
      <c r="GH617" s="8"/>
      <c r="GI617" s="8"/>
      <c r="GJ617" s="8"/>
      <c r="GK617" s="8"/>
      <c r="GL617" s="8"/>
      <c r="GM617" s="8"/>
      <c r="GN617" s="8"/>
      <c r="GO617" s="8"/>
      <c r="GP617" s="8"/>
      <c r="GQ617" s="8"/>
      <c r="GR617" s="8"/>
      <c r="GS617" s="8"/>
      <c r="GT617" s="8"/>
      <c r="GU617" s="8"/>
      <c r="GV617" s="8"/>
      <c r="GW617" s="8"/>
      <c r="GX617" s="8"/>
      <c r="GY617" s="8"/>
      <c r="GZ617" s="8"/>
      <c r="HA617" s="8"/>
      <c r="HB617" s="8"/>
      <c r="HC617" s="8"/>
      <c r="HD617" s="8"/>
      <c r="HE617" s="8"/>
      <c r="HF617" s="8"/>
      <c r="HG617" s="8"/>
      <c r="HH617" s="8"/>
      <c r="HI617" s="8"/>
      <c r="HJ617" s="8"/>
      <c r="HK617" s="8"/>
      <c r="HL617" s="8"/>
      <c r="HM617" s="8"/>
      <c r="HN617" s="8"/>
      <c r="HO617" s="8"/>
      <c r="HP617" s="8"/>
      <c r="HQ617" s="8"/>
      <c r="HR617" s="8"/>
      <c r="HS617" s="8"/>
      <c r="HT617" s="8"/>
      <c r="HU617" s="8"/>
      <c r="HV617" s="8"/>
      <c r="HW617" s="8"/>
      <c r="HX617" s="8"/>
      <c r="HY617" s="8"/>
      <c r="HZ617" s="8"/>
      <c r="IA617" s="8"/>
      <c r="IB617" s="8"/>
      <c r="IC617" s="8"/>
      <c r="ID617" s="8"/>
    </row>
    <row r="618" spans="5:23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c r="CB618" s="8"/>
      <c r="CC618" s="8"/>
      <c r="CD618" s="8"/>
      <c r="CE618" s="8"/>
      <c r="CF618" s="8"/>
      <c r="CG618" s="8"/>
      <c r="CH618" s="8"/>
      <c r="CI618" s="8"/>
      <c r="CJ618" s="8"/>
      <c r="CK618" s="8"/>
      <c r="CL618" s="8"/>
      <c r="CM618" s="8"/>
      <c r="CN618" s="8"/>
      <c r="CO618" s="8"/>
      <c r="CP618" s="8"/>
      <c r="CQ618" s="8"/>
      <c r="CR618" s="8"/>
      <c r="CS618" s="8"/>
      <c r="CT618" s="8"/>
      <c r="CU618" s="8"/>
      <c r="CV618" s="8"/>
      <c r="CW618" s="8"/>
      <c r="CX618" s="8"/>
      <c r="CY618" s="8"/>
      <c r="CZ618" s="8"/>
      <c r="DA618" s="8"/>
      <c r="DB618" s="8"/>
      <c r="DC618" s="8"/>
      <c r="DD618" s="8"/>
      <c r="DE618" s="8"/>
      <c r="DF618" s="8"/>
      <c r="DG618" s="8"/>
      <c r="DH618" s="8"/>
      <c r="DI618" s="8"/>
      <c r="DJ618" s="8"/>
      <c r="DK618" s="8"/>
      <c r="DL618" s="8"/>
      <c r="DM618" s="8"/>
      <c r="DN618" s="8"/>
      <c r="DO618" s="8"/>
      <c r="DP618" s="8"/>
      <c r="DQ618" s="8"/>
      <c r="DR618" s="8"/>
      <c r="DS618" s="8"/>
      <c r="DT618" s="8"/>
      <c r="DU618" s="8"/>
      <c r="DV618" s="8"/>
      <c r="DW618" s="8"/>
      <c r="DX618" s="8"/>
      <c r="DY618" s="8"/>
      <c r="DZ618" s="8"/>
      <c r="EA618" s="8"/>
      <c r="EB618" s="8"/>
      <c r="EC618" s="8"/>
      <c r="ED618" s="8"/>
      <c r="EE618" s="8"/>
      <c r="EF618" s="8"/>
      <c r="EG618" s="8"/>
      <c r="EH618" s="8"/>
      <c r="EI618" s="8"/>
      <c r="EJ618" s="8"/>
      <c r="EK618" s="8"/>
      <c r="EL618" s="8"/>
      <c r="EM618" s="8"/>
      <c r="EN618" s="8"/>
      <c r="EO618" s="8"/>
      <c r="EP618" s="8"/>
      <c r="EQ618" s="8"/>
      <c r="ER618" s="8"/>
      <c r="ES618" s="8"/>
      <c r="ET618" s="8"/>
      <c r="EU618" s="8"/>
      <c r="EV618" s="8"/>
      <c r="EW618" s="8"/>
      <c r="EX618" s="8"/>
      <c r="EY618" s="8"/>
      <c r="EZ618" s="8"/>
      <c r="FA618" s="8"/>
      <c r="FB618" s="8"/>
      <c r="FC618" s="8"/>
      <c r="FD618" s="8"/>
      <c r="FE618" s="8"/>
      <c r="FF618" s="8"/>
      <c r="FG618" s="8"/>
      <c r="FH618" s="8"/>
      <c r="FI618" s="8"/>
      <c r="FJ618" s="8"/>
      <c r="FK618" s="8"/>
      <c r="FL618" s="8"/>
      <c r="FM618" s="8"/>
      <c r="FN618" s="8"/>
      <c r="FO618" s="8"/>
      <c r="FP618" s="8"/>
      <c r="FQ618" s="8"/>
      <c r="FR618" s="8"/>
      <c r="FS618" s="8"/>
      <c r="FT618" s="8"/>
      <c r="FU618" s="8"/>
      <c r="FV618" s="8"/>
      <c r="FW618" s="8"/>
      <c r="FX618" s="8"/>
      <c r="FY618" s="8"/>
      <c r="FZ618" s="8"/>
      <c r="GA618" s="8"/>
      <c r="GB618" s="8"/>
      <c r="GC618" s="8"/>
      <c r="GD618" s="8"/>
      <c r="GE618" s="8"/>
      <c r="GF618" s="8"/>
      <c r="GG618" s="8"/>
      <c r="GH618" s="8"/>
      <c r="GI618" s="8"/>
      <c r="GJ618" s="8"/>
      <c r="GK618" s="8"/>
      <c r="GL618" s="8"/>
      <c r="GM618" s="8"/>
      <c r="GN618" s="8"/>
      <c r="GO618" s="8"/>
      <c r="GP618" s="8"/>
      <c r="GQ618" s="8"/>
      <c r="GR618" s="8"/>
      <c r="GS618" s="8"/>
      <c r="GT618" s="8"/>
      <c r="GU618" s="8"/>
      <c r="GV618" s="8"/>
      <c r="GW618" s="8"/>
      <c r="GX618" s="8"/>
      <c r="GY618" s="8"/>
      <c r="GZ618" s="8"/>
      <c r="HA618" s="8"/>
      <c r="HB618" s="8"/>
      <c r="HC618" s="8"/>
      <c r="HD618" s="8"/>
      <c r="HE618" s="8"/>
      <c r="HF618" s="8"/>
      <c r="HG618" s="8"/>
      <c r="HH618" s="8"/>
      <c r="HI618" s="8"/>
      <c r="HJ618" s="8"/>
      <c r="HK618" s="8"/>
      <c r="HL618" s="8"/>
      <c r="HM618" s="8"/>
      <c r="HN618" s="8"/>
      <c r="HO618" s="8"/>
      <c r="HP618" s="8"/>
      <c r="HQ618" s="8"/>
      <c r="HR618" s="8"/>
      <c r="HS618" s="8"/>
      <c r="HT618" s="8"/>
      <c r="HU618" s="8"/>
      <c r="HV618" s="8"/>
      <c r="HW618" s="8"/>
      <c r="HX618" s="8"/>
      <c r="HY618" s="8"/>
      <c r="HZ618" s="8"/>
      <c r="IA618" s="8"/>
      <c r="IB618" s="8"/>
      <c r="IC618" s="8"/>
      <c r="ID618" s="8"/>
    </row>
    <row r="619" spans="5:23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c r="CB619" s="8"/>
      <c r="CC619" s="8"/>
      <c r="CD619" s="8"/>
      <c r="CE619" s="8"/>
      <c r="CF619" s="8"/>
      <c r="CG619" s="8"/>
      <c r="CH619" s="8"/>
      <c r="CI619" s="8"/>
      <c r="CJ619" s="8"/>
      <c r="CK619" s="8"/>
      <c r="CL619" s="8"/>
      <c r="CM619" s="8"/>
      <c r="CN619" s="8"/>
      <c r="CO619" s="8"/>
      <c r="CP619" s="8"/>
      <c r="CQ619" s="8"/>
      <c r="CR619" s="8"/>
      <c r="CS619" s="8"/>
      <c r="CT619" s="8"/>
      <c r="CU619" s="8"/>
      <c r="CV619" s="8"/>
      <c r="CW619" s="8"/>
      <c r="CX619" s="8"/>
      <c r="CY619" s="8"/>
      <c r="CZ619" s="8"/>
      <c r="DA619" s="8"/>
      <c r="DB619" s="8"/>
      <c r="DC619" s="8"/>
      <c r="DD619" s="8"/>
      <c r="DE619" s="8"/>
      <c r="DF619" s="8"/>
      <c r="DG619" s="8"/>
      <c r="DH619" s="8"/>
      <c r="DI619" s="8"/>
      <c r="DJ619" s="8"/>
      <c r="DK619" s="8"/>
      <c r="DL619" s="8"/>
      <c r="DM619" s="8"/>
      <c r="DN619" s="8"/>
      <c r="DO619" s="8"/>
      <c r="DP619" s="8"/>
      <c r="DQ619" s="8"/>
      <c r="DR619" s="8"/>
      <c r="DS619" s="8"/>
      <c r="DT619" s="8"/>
      <c r="DU619" s="8"/>
      <c r="DV619" s="8"/>
      <c r="DW619" s="8"/>
      <c r="DX619" s="8"/>
      <c r="DY619" s="8"/>
      <c r="DZ619" s="8"/>
      <c r="EA619" s="8"/>
      <c r="EB619" s="8"/>
      <c r="EC619" s="8"/>
      <c r="ED619" s="8"/>
      <c r="EE619" s="8"/>
      <c r="EF619" s="8"/>
      <c r="EG619" s="8"/>
      <c r="EH619" s="8"/>
      <c r="EI619" s="8"/>
      <c r="EJ619" s="8"/>
      <c r="EK619" s="8"/>
      <c r="EL619" s="8"/>
      <c r="EM619" s="8"/>
      <c r="EN619" s="8"/>
      <c r="EO619" s="8"/>
      <c r="EP619" s="8"/>
      <c r="EQ619" s="8"/>
      <c r="ER619" s="8"/>
      <c r="ES619" s="8"/>
      <c r="ET619" s="8"/>
      <c r="EU619" s="8"/>
      <c r="EV619" s="8"/>
      <c r="EW619" s="8"/>
      <c r="EX619" s="8"/>
      <c r="EY619" s="8"/>
      <c r="EZ619" s="8"/>
      <c r="FA619" s="8"/>
      <c r="FB619" s="8"/>
      <c r="FC619" s="8"/>
      <c r="FD619" s="8"/>
      <c r="FE619" s="8"/>
      <c r="FF619" s="8"/>
      <c r="FG619" s="8"/>
      <c r="FH619" s="8"/>
      <c r="FI619" s="8"/>
      <c r="FJ619" s="8"/>
      <c r="FK619" s="8"/>
      <c r="FL619" s="8"/>
      <c r="FM619" s="8"/>
      <c r="FN619" s="8"/>
      <c r="FO619" s="8"/>
      <c r="FP619" s="8"/>
      <c r="FQ619" s="8"/>
      <c r="FR619" s="8"/>
      <c r="FS619" s="8"/>
      <c r="FT619" s="8"/>
      <c r="FU619" s="8"/>
      <c r="FV619" s="8"/>
      <c r="FW619" s="8"/>
      <c r="FX619" s="8"/>
      <c r="FY619" s="8"/>
      <c r="FZ619" s="8"/>
      <c r="GA619" s="8"/>
      <c r="GB619" s="8"/>
      <c r="GC619" s="8"/>
      <c r="GD619" s="8"/>
      <c r="GE619" s="8"/>
      <c r="GF619" s="8"/>
      <c r="GG619" s="8"/>
      <c r="GH619" s="8"/>
      <c r="GI619" s="8"/>
      <c r="GJ619" s="8"/>
      <c r="GK619" s="8"/>
      <c r="GL619" s="8"/>
      <c r="GM619" s="8"/>
      <c r="GN619" s="8"/>
      <c r="GO619" s="8"/>
      <c r="GP619" s="8"/>
      <c r="GQ619" s="8"/>
      <c r="GR619" s="8"/>
      <c r="GS619" s="8"/>
      <c r="GT619" s="8"/>
      <c r="GU619" s="8"/>
      <c r="GV619" s="8"/>
      <c r="GW619" s="8"/>
      <c r="GX619" s="8"/>
      <c r="GY619" s="8"/>
      <c r="GZ619" s="8"/>
      <c r="HA619" s="8"/>
      <c r="HB619" s="8"/>
      <c r="HC619" s="8"/>
      <c r="HD619" s="8"/>
      <c r="HE619" s="8"/>
      <c r="HF619" s="8"/>
      <c r="HG619" s="8"/>
      <c r="HH619" s="8"/>
      <c r="HI619" s="8"/>
      <c r="HJ619" s="8"/>
      <c r="HK619" s="8"/>
      <c r="HL619" s="8"/>
      <c r="HM619" s="8"/>
      <c r="HN619" s="8"/>
      <c r="HO619" s="8"/>
      <c r="HP619" s="8"/>
      <c r="HQ619" s="8"/>
      <c r="HR619" s="8"/>
      <c r="HS619" s="8"/>
      <c r="HT619" s="8"/>
      <c r="HU619" s="8"/>
      <c r="HV619" s="8"/>
      <c r="HW619" s="8"/>
      <c r="HX619" s="8"/>
      <c r="HY619" s="8"/>
      <c r="HZ619" s="8"/>
      <c r="IA619" s="8"/>
      <c r="IB619" s="8"/>
      <c r="IC619" s="8"/>
      <c r="ID619" s="8"/>
    </row>
    <row r="620" spans="5:23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c r="CB620" s="8"/>
      <c r="CC620" s="8"/>
      <c r="CD620" s="8"/>
      <c r="CE620" s="8"/>
      <c r="CF620" s="8"/>
      <c r="CG620" s="8"/>
      <c r="CH620" s="8"/>
      <c r="CI620" s="8"/>
      <c r="CJ620" s="8"/>
      <c r="CK620" s="8"/>
      <c r="CL620" s="8"/>
      <c r="CM620" s="8"/>
      <c r="CN620" s="8"/>
      <c r="CO620" s="8"/>
      <c r="CP620" s="8"/>
      <c r="CQ620" s="8"/>
      <c r="CR620" s="8"/>
      <c r="CS620" s="8"/>
      <c r="CT620" s="8"/>
      <c r="CU620" s="8"/>
      <c r="CV620" s="8"/>
      <c r="CW620" s="8"/>
      <c r="CX620" s="8"/>
      <c r="CY620" s="8"/>
      <c r="CZ620" s="8"/>
      <c r="DA620" s="8"/>
      <c r="DB620" s="8"/>
      <c r="DC620" s="8"/>
      <c r="DD620" s="8"/>
      <c r="DE620" s="8"/>
      <c r="DF620" s="8"/>
      <c r="DG620" s="8"/>
      <c r="DH620" s="8"/>
      <c r="DI620" s="8"/>
      <c r="DJ620" s="8"/>
      <c r="DK620" s="8"/>
      <c r="DL620" s="8"/>
      <c r="DM620" s="8"/>
      <c r="DN620" s="8"/>
      <c r="DO620" s="8"/>
      <c r="DP620" s="8"/>
      <c r="DQ620" s="8"/>
      <c r="DR620" s="8"/>
      <c r="DS620" s="8"/>
      <c r="DT620" s="8"/>
      <c r="DU620" s="8"/>
      <c r="DV620" s="8"/>
      <c r="DW620" s="8"/>
      <c r="DX620" s="8"/>
      <c r="DY620" s="8"/>
      <c r="DZ620" s="8"/>
      <c r="EA620" s="8"/>
      <c r="EB620" s="8"/>
      <c r="EC620" s="8"/>
      <c r="ED620" s="8"/>
      <c r="EE620" s="8"/>
      <c r="EF620" s="8"/>
      <c r="EG620" s="8"/>
      <c r="EH620" s="8"/>
      <c r="EI620" s="8"/>
      <c r="EJ620" s="8"/>
      <c r="EK620" s="8"/>
      <c r="EL620" s="8"/>
      <c r="EM620" s="8"/>
      <c r="EN620" s="8"/>
      <c r="EO620" s="8"/>
      <c r="EP620" s="8"/>
      <c r="EQ620" s="8"/>
      <c r="ER620" s="8"/>
      <c r="ES620" s="8"/>
      <c r="ET620" s="8"/>
      <c r="EU620" s="8"/>
      <c r="EV620" s="8"/>
      <c r="EW620" s="8"/>
      <c r="EX620" s="8"/>
      <c r="EY620" s="8"/>
      <c r="EZ620" s="8"/>
      <c r="FA620" s="8"/>
      <c r="FB620" s="8"/>
      <c r="FC620" s="8"/>
      <c r="FD620" s="8"/>
      <c r="FE620" s="8"/>
      <c r="FF620" s="8"/>
      <c r="FG620" s="8"/>
      <c r="FH620" s="8"/>
      <c r="FI620" s="8"/>
      <c r="FJ620" s="8"/>
      <c r="FK620" s="8"/>
      <c r="FL620" s="8"/>
      <c r="FM620" s="8"/>
      <c r="FN620" s="8"/>
      <c r="FO620" s="8"/>
      <c r="FP620" s="8"/>
      <c r="FQ620" s="8"/>
      <c r="FR620" s="8"/>
      <c r="FS620" s="8"/>
      <c r="FT620" s="8"/>
      <c r="FU620" s="8"/>
      <c r="FV620" s="8"/>
      <c r="FW620" s="8"/>
      <c r="FX620" s="8"/>
      <c r="FY620" s="8"/>
      <c r="FZ620" s="8"/>
      <c r="GA620" s="8"/>
      <c r="GB620" s="8"/>
      <c r="GC620" s="8"/>
      <c r="GD620" s="8"/>
      <c r="GE620" s="8"/>
      <c r="GF620" s="8"/>
      <c r="GG620" s="8"/>
      <c r="GH620" s="8"/>
      <c r="GI620" s="8"/>
      <c r="GJ620" s="8"/>
      <c r="GK620" s="8"/>
      <c r="GL620" s="8"/>
      <c r="GM620" s="8"/>
      <c r="GN620" s="8"/>
      <c r="GO620" s="8"/>
      <c r="GP620" s="8"/>
      <c r="GQ620" s="8"/>
      <c r="GR620" s="8"/>
      <c r="GS620" s="8"/>
      <c r="GT620" s="8"/>
      <c r="GU620" s="8"/>
      <c r="GV620" s="8"/>
      <c r="GW620" s="8"/>
      <c r="GX620" s="8"/>
      <c r="GY620" s="8"/>
      <c r="GZ620" s="8"/>
      <c r="HA620" s="8"/>
      <c r="HB620" s="8"/>
      <c r="HC620" s="8"/>
      <c r="HD620" s="8"/>
      <c r="HE620" s="8"/>
      <c r="HF620" s="8"/>
      <c r="HG620" s="8"/>
      <c r="HH620" s="8"/>
      <c r="HI620" s="8"/>
      <c r="HJ620" s="8"/>
      <c r="HK620" s="8"/>
      <c r="HL620" s="8"/>
      <c r="HM620" s="8"/>
      <c r="HN620" s="8"/>
      <c r="HO620" s="8"/>
      <c r="HP620" s="8"/>
      <c r="HQ620" s="8"/>
      <c r="HR620" s="8"/>
      <c r="HS620" s="8"/>
      <c r="HT620" s="8"/>
      <c r="HU620" s="8"/>
      <c r="HV620" s="8"/>
      <c r="HW620" s="8"/>
      <c r="HX620" s="8"/>
      <c r="HY620" s="8"/>
      <c r="HZ620" s="8"/>
      <c r="IA620" s="8"/>
      <c r="IB620" s="8"/>
      <c r="IC620" s="8"/>
      <c r="ID620" s="8"/>
    </row>
    <row r="621" spans="5:23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c r="CB621" s="8"/>
      <c r="CC621" s="8"/>
      <c r="CD621" s="8"/>
      <c r="CE621" s="8"/>
      <c r="CF621" s="8"/>
      <c r="CG621" s="8"/>
      <c r="CH621" s="8"/>
      <c r="CI621" s="8"/>
      <c r="CJ621" s="8"/>
      <c r="CK621" s="8"/>
      <c r="CL621" s="8"/>
      <c r="CM621" s="8"/>
      <c r="CN621" s="8"/>
      <c r="CO621" s="8"/>
      <c r="CP621" s="8"/>
      <c r="CQ621" s="8"/>
      <c r="CR621" s="8"/>
      <c r="CS621" s="8"/>
      <c r="CT621" s="8"/>
      <c r="CU621" s="8"/>
      <c r="CV621" s="8"/>
      <c r="CW621" s="8"/>
      <c r="CX621" s="8"/>
      <c r="CY621" s="8"/>
      <c r="CZ621" s="8"/>
      <c r="DA621" s="8"/>
      <c r="DB621" s="8"/>
      <c r="DC621" s="8"/>
      <c r="DD621" s="8"/>
      <c r="DE621" s="8"/>
      <c r="DF621" s="8"/>
      <c r="DG621" s="8"/>
      <c r="DH621" s="8"/>
      <c r="DI621" s="8"/>
      <c r="DJ621" s="8"/>
      <c r="DK621" s="8"/>
      <c r="DL621" s="8"/>
      <c r="DM621" s="8"/>
      <c r="DN621" s="8"/>
      <c r="DO621" s="8"/>
      <c r="DP621" s="8"/>
      <c r="DQ621" s="8"/>
      <c r="DR621" s="8"/>
      <c r="DS621" s="8"/>
      <c r="DT621" s="8"/>
      <c r="DU621" s="8"/>
      <c r="DV621" s="8"/>
      <c r="DW621" s="8"/>
      <c r="DX621" s="8"/>
      <c r="DY621" s="8"/>
      <c r="DZ621" s="8"/>
      <c r="EA621" s="8"/>
      <c r="EB621" s="8"/>
      <c r="EC621" s="8"/>
      <c r="ED621" s="8"/>
      <c r="EE621" s="8"/>
      <c r="EF621" s="8"/>
      <c r="EG621" s="8"/>
      <c r="EH621" s="8"/>
      <c r="EI621" s="8"/>
      <c r="EJ621" s="8"/>
      <c r="EK621" s="8"/>
      <c r="EL621" s="8"/>
      <c r="EM621" s="8"/>
      <c r="EN621" s="8"/>
      <c r="EO621" s="8"/>
      <c r="EP621" s="8"/>
      <c r="EQ621" s="8"/>
      <c r="ER621" s="8"/>
      <c r="ES621" s="8"/>
      <c r="ET621" s="8"/>
      <c r="EU621" s="8"/>
      <c r="EV621" s="8"/>
      <c r="EW621" s="8"/>
      <c r="EX621" s="8"/>
      <c r="EY621" s="8"/>
      <c r="EZ621" s="8"/>
      <c r="FA621" s="8"/>
      <c r="FB621" s="8"/>
      <c r="FC621" s="8"/>
      <c r="FD621" s="8"/>
      <c r="FE621" s="8"/>
      <c r="FF621" s="8"/>
      <c r="FG621" s="8"/>
      <c r="FH621" s="8"/>
      <c r="FI621" s="8"/>
      <c r="FJ621" s="8"/>
      <c r="FK621" s="8"/>
      <c r="FL621" s="8"/>
      <c r="FM621" s="8"/>
      <c r="FN621" s="8"/>
      <c r="FO621" s="8"/>
      <c r="FP621" s="8"/>
      <c r="FQ621" s="8"/>
      <c r="FR621" s="8"/>
      <c r="FS621" s="8"/>
      <c r="FT621" s="8"/>
      <c r="FU621" s="8"/>
      <c r="FV621" s="8"/>
      <c r="FW621" s="8"/>
      <c r="FX621" s="8"/>
      <c r="FY621" s="8"/>
      <c r="FZ621" s="8"/>
      <c r="GA621" s="8"/>
      <c r="GB621" s="8"/>
      <c r="GC621" s="8"/>
      <c r="GD621" s="8"/>
      <c r="GE621" s="8"/>
      <c r="GF621" s="8"/>
      <c r="GG621" s="8"/>
      <c r="GH621" s="8"/>
      <c r="GI621" s="8"/>
      <c r="GJ621" s="8"/>
      <c r="GK621" s="8"/>
      <c r="GL621" s="8"/>
      <c r="GM621" s="8"/>
      <c r="GN621" s="8"/>
      <c r="GO621" s="8"/>
      <c r="GP621" s="8"/>
      <c r="GQ621" s="8"/>
      <c r="GR621" s="8"/>
      <c r="GS621" s="8"/>
      <c r="GT621" s="8"/>
      <c r="GU621" s="8"/>
      <c r="GV621" s="8"/>
      <c r="GW621" s="8"/>
      <c r="GX621" s="8"/>
      <c r="GY621" s="8"/>
      <c r="GZ621" s="8"/>
      <c r="HA621" s="8"/>
      <c r="HB621" s="8"/>
      <c r="HC621" s="8"/>
      <c r="HD621" s="8"/>
      <c r="HE621" s="8"/>
      <c r="HF621" s="8"/>
      <c r="HG621" s="8"/>
      <c r="HH621" s="8"/>
      <c r="HI621" s="8"/>
      <c r="HJ621" s="8"/>
      <c r="HK621" s="8"/>
      <c r="HL621" s="8"/>
      <c r="HM621" s="8"/>
      <c r="HN621" s="8"/>
      <c r="HO621" s="8"/>
      <c r="HP621" s="8"/>
      <c r="HQ621" s="8"/>
      <c r="HR621" s="8"/>
      <c r="HS621" s="8"/>
      <c r="HT621" s="8"/>
      <c r="HU621" s="8"/>
      <c r="HV621" s="8"/>
      <c r="HW621" s="8"/>
      <c r="HX621" s="8"/>
      <c r="HY621" s="8"/>
      <c r="HZ621" s="8"/>
      <c r="IA621" s="8"/>
      <c r="IB621" s="8"/>
      <c r="IC621" s="8"/>
      <c r="ID621" s="8"/>
    </row>
    <row r="622" spans="5:23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c r="CB622" s="8"/>
      <c r="CC622" s="8"/>
      <c r="CD622" s="8"/>
      <c r="CE622" s="8"/>
      <c r="CF622" s="8"/>
      <c r="CG622" s="8"/>
      <c r="CH622" s="8"/>
      <c r="CI622" s="8"/>
      <c r="CJ622" s="8"/>
      <c r="CK622" s="8"/>
      <c r="CL622" s="8"/>
      <c r="CM622" s="8"/>
      <c r="CN622" s="8"/>
      <c r="CO622" s="8"/>
      <c r="CP622" s="8"/>
      <c r="CQ622" s="8"/>
      <c r="CR622" s="8"/>
      <c r="CS622" s="8"/>
      <c r="CT622" s="8"/>
      <c r="CU622" s="8"/>
      <c r="CV622" s="8"/>
      <c r="CW622" s="8"/>
      <c r="CX622" s="8"/>
      <c r="CY622" s="8"/>
      <c r="CZ622" s="8"/>
      <c r="DA622" s="8"/>
      <c r="DB622" s="8"/>
      <c r="DC622" s="8"/>
      <c r="DD622" s="8"/>
      <c r="DE622" s="8"/>
      <c r="DF622" s="8"/>
      <c r="DG622" s="8"/>
      <c r="DH622" s="8"/>
      <c r="DI622" s="8"/>
      <c r="DJ622" s="8"/>
      <c r="DK622" s="8"/>
      <c r="DL622" s="8"/>
      <c r="DM622" s="8"/>
      <c r="DN622" s="8"/>
      <c r="DO622" s="8"/>
      <c r="DP622" s="8"/>
      <c r="DQ622" s="8"/>
      <c r="DR622" s="8"/>
      <c r="DS622" s="8"/>
      <c r="DT622" s="8"/>
      <c r="DU622" s="8"/>
      <c r="DV622" s="8"/>
      <c r="DW622" s="8"/>
      <c r="DX622" s="8"/>
      <c r="DY622" s="8"/>
      <c r="DZ622" s="8"/>
      <c r="EA622" s="8"/>
      <c r="EB622" s="8"/>
      <c r="EC622" s="8"/>
      <c r="ED622" s="8"/>
      <c r="EE622" s="8"/>
      <c r="EF622" s="8"/>
      <c r="EG622" s="8"/>
      <c r="EH622" s="8"/>
      <c r="EI622" s="8"/>
      <c r="EJ622" s="8"/>
      <c r="EK622" s="8"/>
      <c r="EL622" s="8"/>
      <c r="EM622" s="8"/>
      <c r="EN622" s="8"/>
      <c r="EO622" s="8"/>
      <c r="EP622" s="8"/>
      <c r="EQ622" s="8"/>
      <c r="ER622" s="8"/>
      <c r="ES622" s="8"/>
      <c r="ET622" s="8"/>
      <c r="EU622" s="8"/>
      <c r="EV622" s="8"/>
      <c r="EW622" s="8"/>
      <c r="EX622" s="8"/>
      <c r="EY622" s="8"/>
      <c r="EZ622" s="8"/>
      <c r="FA622" s="8"/>
      <c r="FB622" s="8"/>
      <c r="FC622" s="8"/>
      <c r="FD622" s="8"/>
      <c r="FE622" s="8"/>
      <c r="FF622" s="8"/>
      <c r="FG622" s="8"/>
      <c r="FH622" s="8"/>
      <c r="FI622" s="8"/>
      <c r="FJ622" s="8"/>
      <c r="FK622" s="8"/>
      <c r="FL622" s="8"/>
      <c r="FM622" s="8"/>
      <c r="FN622" s="8"/>
      <c r="FO622" s="8"/>
      <c r="FP622" s="8"/>
      <c r="FQ622" s="8"/>
      <c r="FR622" s="8"/>
      <c r="FS622" s="8"/>
      <c r="FT622" s="8"/>
      <c r="FU622" s="8"/>
      <c r="FV622" s="8"/>
      <c r="FW622" s="8"/>
      <c r="FX622" s="8"/>
      <c r="FY622" s="8"/>
      <c r="FZ622" s="8"/>
      <c r="GA622" s="8"/>
      <c r="GB622" s="8"/>
      <c r="GC622" s="8"/>
      <c r="GD622" s="8"/>
      <c r="GE622" s="8"/>
      <c r="GF622" s="8"/>
      <c r="GG622" s="8"/>
      <c r="GH622" s="8"/>
      <c r="GI622" s="8"/>
      <c r="GJ622" s="8"/>
      <c r="GK622" s="8"/>
      <c r="GL622" s="8"/>
      <c r="GM622" s="8"/>
      <c r="GN622" s="8"/>
      <c r="GO622" s="8"/>
      <c r="GP622" s="8"/>
      <c r="GQ622" s="8"/>
      <c r="GR622" s="8"/>
      <c r="GS622" s="8"/>
      <c r="GT622" s="8"/>
      <c r="GU622" s="8"/>
      <c r="GV622" s="8"/>
      <c r="GW622" s="8"/>
      <c r="GX622" s="8"/>
      <c r="GY622" s="8"/>
      <c r="GZ622" s="8"/>
      <c r="HA622" s="8"/>
      <c r="HB622" s="8"/>
      <c r="HC622" s="8"/>
      <c r="HD622" s="8"/>
      <c r="HE622" s="8"/>
      <c r="HF622" s="8"/>
      <c r="HG622" s="8"/>
      <c r="HH622" s="8"/>
      <c r="HI622" s="8"/>
      <c r="HJ622" s="8"/>
      <c r="HK622" s="8"/>
      <c r="HL622" s="8"/>
      <c r="HM622" s="8"/>
      <c r="HN622" s="8"/>
      <c r="HO622" s="8"/>
      <c r="HP622" s="8"/>
      <c r="HQ622" s="8"/>
      <c r="HR622" s="8"/>
      <c r="HS622" s="8"/>
      <c r="HT622" s="8"/>
      <c r="HU622" s="8"/>
      <c r="HV622" s="8"/>
      <c r="HW622" s="8"/>
      <c r="HX622" s="8"/>
      <c r="HY622" s="8"/>
      <c r="HZ622" s="8"/>
      <c r="IA622" s="8"/>
      <c r="IB622" s="8"/>
      <c r="IC622" s="8"/>
      <c r="ID622" s="8"/>
    </row>
    <row r="623" spans="5:23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c r="CB623" s="8"/>
      <c r="CC623" s="8"/>
      <c r="CD623" s="8"/>
      <c r="CE623" s="8"/>
      <c r="CF623" s="8"/>
      <c r="CG623" s="8"/>
      <c r="CH623" s="8"/>
      <c r="CI623" s="8"/>
      <c r="CJ623" s="8"/>
      <c r="CK623" s="8"/>
      <c r="CL623" s="8"/>
      <c r="CM623" s="8"/>
      <c r="CN623" s="8"/>
      <c r="CO623" s="8"/>
      <c r="CP623" s="8"/>
      <c r="CQ623" s="8"/>
      <c r="CR623" s="8"/>
      <c r="CS623" s="8"/>
      <c r="CT623" s="8"/>
      <c r="CU623" s="8"/>
      <c r="CV623" s="8"/>
      <c r="CW623" s="8"/>
      <c r="CX623" s="8"/>
      <c r="CY623" s="8"/>
      <c r="CZ623" s="8"/>
      <c r="DA623" s="8"/>
      <c r="DB623" s="8"/>
      <c r="DC623" s="8"/>
      <c r="DD623" s="8"/>
      <c r="DE623" s="8"/>
      <c r="DF623" s="8"/>
      <c r="DG623" s="8"/>
      <c r="DH623" s="8"/>
      <c r="DI623" s="8"/>
      <c r="DJ623" s="8"/>
      <c r="DK623" s="8"/>
      <c r="DL623" s="8"/>
      <c r="DM623" s="8"/>
      <c r="DN623" s="8"/>
      <c r="DO623" s="8"/>
      <c r="DP623" s="8"/>
      <c r="DQ623" s="8"/>
      <c r="DR623" s="8"/>
      <c r="DS623" s="8"/>
      <c r="DT623" s="8"/>
      <c r="DU623" s="8"/>
      <c r="DV623" s="8"/>
      <c r="DW623" s="8"/>
      <c r="DX623" s="8"/>
      <c r="DY623" s="8"/>
      <c r="DZ623" s="8"/>
      <c r="EA623" s="8"/>
      <c r="EB623" s="8"/>
      <c r="EC623" s="8"/>
      <c r="ED623" s="8"/>
      <c r="EE623" s="8"/>
      <c r="EF623" s="8"/>
      <c r="EG623" s="8"/>
      <c r="EH623" s="8"/>
      <c r="EI623" s="8"/>
      <c r="EJ623" s="8"/>
      <c r="EK623" s="8"/>
      <c r="EL623" s="8"/>
      <c r="EM623" s="8"/>
      <c r="EN623" s="8"/>
      <c r="EO623" s="8"/>
      <c r="EP623" s="8"/>
      <c r="EQ623" s="8"/>
      <c r="ER623" s="8"/>
      <c r="ES623" s="8"/>
      <c r="ET623" s="8"/>
      <c r="EU623" s="8"/>
      <c r="EV623" s="8"/>
      <c r="EW623" s="8"/>
      <c r="EX623" s="8"/>
      <c r="EY623" s="8"/>
      <c r="EZ623" s="8"/>
      <c r="FA623" s="8"/>
      <c r="FB623" s="8"/>
      <c r="FC623" s="8"/>
      <c r="FD623" s="8"/>
      <c r="FE623" s="8"/>
      <c r="FF623" s="8"/>
      <c r="FG623" s="8"/>
      <c r="FH623" s="8"/>
      <c r="FI623" s="8"/>
      <c r="FJ623" s="8"/>
      <c r="FK623" s="8"/>
      <c r="FL623" s="8"/>
      <c r="FM623" s="8"/>
      <c r="FN623" s="8"/>
      <c r="FO623" s="8"/>
      <c r="FP623" s="8"/>
      <c r="FQ623" s="8"/>
      <c r="FR623" s="8"/>
      <c r="FS623" s="8"/>
      <c r="FT623" s="8"/>
      <c r="FU623" s="8"/>
      <c r="FV623" s="8"/>
      <c r="FW623" s="8"/>
      <c r="FX623" s="8"/>
      <c r="FY623" s="8"/>
      <c r="FZ623" s="8"/>
      <c r="GA623" s="8"/>
      <c r="GB623" s="8"/>
      <c r="GC623" s="8"/>
      <c r="GD623" s="8"/>
      <c r="GE623" s="8"/>
      <c r="GF623" s="8"/>
      <c r="GG623" s="8"/>
      <c r="GH623" s="8"/>
      <c r="GI623" s="8"/>
      <c r="GJ623" s="8"/>
      <c r="GK623" s="8"/>
      <c r="GL623" s="8"/>
      <c r="GM623" s="8"/>
      <c r="GN623" s="8"/>
      <c r="GO623" s="8"/>
      <c r="GP623" s="8"/>
      <c r="GQ623" s="8"/>
      <c r="GR623" s="8"/>
      <c r="GS623" s="8"/>
      <c r="GT623" s="8"/>
      <c r="GU623" s="8"/>
      <c r="GV623" s="8"/>
      <c r="GW623" s="8"/>
      <c r="GX623" s="8"/>
      <c r="GY623" s="8"/>
      <c r="GZ623" s="8"/>
      <c r="HA623" s="8"/>
      <c r="HB623" s="8"/>
      <c r="HC623" s="8"/>
      <c r="HD623" s="8"/>
      <c r="HE623" s="8"/>
      <c r="HF623" s="8"/>
      <c r="HG623" s="8"/>
      <c r="HH623" s="8"/>
      <c r="HI623" s="8"/>
      <c r="HJ623" s="8"/>
      <c r="HK623" s="8"/>
      <c r="HL623" s="8"/>
      <c r="HM623" s="8"/>
      <c r="HN623" s="8"/>
      <c r="HO623" s="8"/>
      <c r="HP623" s="8"/>
      <c r="HQ623" s="8"/>
      <c r="HR623" s="8"/>
      <c r="HS623" s="8"/>
      <c r="HT623" s="8"/>
      <c r="HU623" s="8"/>
      <c r="HV623" s="8"/>
      <c r="HW623" s="8"/>
      <c r="HX623" s="8"/>
      <c r="HY623" s="8"/>
      <c r="HZ623" s="8"/>
      <c r="IA623" s="8"/>
      <c r="IB623" s="8"/>
      <c r="IC623" s="8"/>
      <c r="ID623" s="8"/>
    </row>
    <row r="624" spans="5:23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c r="CB624" s="8"/>
      <c r="CC624" s="8"/>
      <c r="CD624" s="8"/>
      <c r="CE624" s="8"/>
      <c r="CF624" s="8"/>
      <c r="CG624" s="8"/>
      <c r="CH624" s="8"/>
      <c r="CI624" s="8"/>
      <c r="CJ624" s="8"/>
      <c r="CK624" s="8"/>
      <c r="CL624" s="8"/>
      <c r="CM624" s="8"/>
      <c r="CN624" s="8"/>
      <c r="CO624" s="8"/>
      <c r="CP624" s="8"/>
      <c r="CQ624" s="8"/>
      <c r="CR624" s="8"/>
      <c r="CS624" s="8"/>
      <c r="CT624" s="8"/>
      <c r="CU624" s="8"/>
      <c r="CV624" s="8"/>
      <c r="CW624" s="8"/>
      <c r="CX624" s="8"/>
      <c r="CY624" s="8"/>
      <c r="CZ624" s="8"/>
      <c r="DA624" s="8"/>
      <c r="DB624" s="8"/>
      <c r="DC624" s="8"/>
      <c r="DD624" s="8"/>
      <c r="DE624" s="8"/>
      <c r="DF624" s="8"/>
      <c r="DG624" s="8"/>
      <c r="DH624" s="8"/>
      <c r="DI624" s="8"/>
      <c r="DJ624" s="8"/>
      <c r="DK624" s="8"/>
      <c r="DL624" s="8"/>
      <c r="DM624" s="8"/>
      <c r="DN624" s="8"/>
      <c r="DO624" s="8"/>
      <c r="DP624" s="8"/>
      <c r="DQ624" s="8"/>
      <c r="DR624" s="8"/>
      <c r="DS624" s="8"/>
      <c r="DT624" s="8"/>
      <c r="DU624" s="8"/>
      <c r="DV624" s="8"/>
      <c r="DW624" s="8"/>
      <c r="DX624" s="8"/>
      <c r="DY624" s="8"/>
      <c r="DZ624" s="8"/>
      <c r="EA624" s="8"/>
      <c r="EB624" s="8"/>
      <c r="EC624" s="8"/>
      <c r="ED624" s="8"/>
      <c r="EE624" s="8"/>
      <c r="EF624" s="8"/>
      <c r="EG624" s="8"/>
      <c r="EH624" s="8"/>
      <c r="EI624" s="8"/>
      <c r="EJ624" s="8"/>
      <c r="EK624" s="8"/>
      <c r="EL624" s="8"/>
      <c r="EM624" s="8"/>
      <c r="EN624" s="8"/>
      <c r="EO624" s="8"/>
      <c r="EP624" s="8"/>
      <c r="EQ624" s="8"/>
      <c r="ER624" s="8"/>
      <c r="ES624" s="8"/>
      <c r="ET624" s="8"/>
      <c r="EU624" s="8"/>
      <c r="EV624" s="8"/>
      <c r="EW624" s="8"/>
      <c r="EX624" s="8"/>
      <c r="EY624" s="8"/>
      <c r="EZ624" s="8"/>
      <c r="FA624" s="8"/>
      <c r="FB624" s="8"/>
      <c r="FC624" s="8"/>
      <c r="FD624" s="8"/>
      <c r="FE624" s="8"/>
      <c r="FF624" s="8"/>
      <c r="FG624" s="8"/>
      <c r="FH624" s="8"/>
      <c r="FI624" s="8"/>
      <c r="FJ624" s="8"/>
      <c r="FK624" s="8"/>
      <c r="FL624" s="8"/>
      <c r="FM624" s="8"/>
      <c r="FN624" s="8"/>
      <c r="FO624" s="8"/>
      <c r="FP624" s="8"/>
      <c r="FQ624" s="8"/>
      <c r="FR624" s="8"/>
      <c r="FS624" s="8"/>
      <c r="FT624" s="8"/>
      <c r="FU624" s="8"/>
      <c r="FV624" s="8"/>
      <c r="FW624" s="8"/>
      <c r="FX624" s="8"/>
      <c r="FY624" s="8"/>
      <c r="FZ624" s="8"/>
      <c r="GA624" s="8"/>
      <c r="GB624" s="8"/>
      <c r="GC624" s="8"/>
      <c r="GD624" s="8"/>
      <c r="GE624" s="8"/>
      <c r="GF624" s="8"/>
      <c r="GG624" s="8"/>
      <c r="GH624" s="8"/>
      <c r="GI624" s="8"/>
      <c r="GJ624" s="8"/>
      <c r="GK624" s="8"/>
      <c r="GL624" s="8"/>
      <c r="GM624" s="8"/>
      <c r="GN624" s="8"/>
      <c r="GO624" s="8"/>
      <c r="GP624" s="8"/>
      <c r="GQ624" s="8"/>
      <c r="GR624" s="8"/>
      <c r="GS624" s="8"/>
      <c r="GT624" s="8"/>
      <c r="GU624" s="8"/>
      <c r="GV624" s="8"/>
      <c r="GW624" s="8"/>
      <c r="GX624" s="8"/>
      <c r="GY624" s="8"/>
      <c r="GZ624" s="8"/>
      <c r="HA624" s="8"/>
      <c r="HB624" s="8"/>
      <c r="HC624" s="8"/>
      <c r="HD624" s="8"/>
      <c r="HE624" s="8"/>
      <c r="HF624" s="8"/>
      <c r="HG624" s="8"/>
      <c r="HH624" s="8"/>
      <c r="HI624" s="8"/>
      <c r="HJ624" s="8"/>
      <c r="HK624" s="8"/>
      <c r="HL624" s="8"/>
      <c r="HM624" s="8"/>
      <c r="HN624" s="8"/>
      <c r="HO624" s="8"/>
      <c r="HP624" s="8"/>
      <c r="HQ624" s="8"/>
      <c r="HR624" s="8"/>
      <c r="HS624" s="8"/>
      <c r="HT624" s="8"/>
      <c r="HU624" s="8"/>
      <c r="HV624" s="8"/>
      <c r="HW624" s="8"/>
      <c r="HX624" s="8"/>
      <c r="HY624" s="8"/>
      <c r="HZ624" s="8"/>
      <c r="IA624" s="8"/>
      <c r="IB624" s="8"/>
      <c r="IC624" s="8"/>
      <c r="ID624" s="8"/>
    </row>
    <row r="625" spans="5:23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c r="CB625" s="8"/>
      <c r="CC625" s="8"/>
      <c r="CD625" s="8"/>
      <c r="CE625" s="8"/>
      <c r="CF625" s="8"/>
      <c r="CG625" s="8"/>
      <c r="CH625" s="8"/>
      <c r="CI625" s="8"/>
      <c r="CJ625" s="8"/>
      <c r="CK625" s="8"/>
      <c r="CL625" s="8"/>
      <c r="CM625" s="8"/>
      <c r="CN625" s="8"/>
      <c r="CO625" s="8"/>
      <c r="CP625" s="8"/>
      <c r="CQ625" s="8"/>
      <c r="CR625" s="8"/>
      <c r="CS625" s="8"/>
      <c r="CT625" s="8"/>
      <c r="CU625" s="8"/>
      <c r="CV625" s="8"/>
      <c r="CW625" s="8"/>
      <c r="CX625" s="8"/>
      <c r="CY625" s="8"/>
      <c r="CZ625" s="8"/>
      <c r="DA625" s="8"/>
      <c r="DB625" s="8"/>
      <c r="DC625" s="8"/>
      <c r="DD625" s="8"/>
      <c r="DE625" s="8"/>
      <c r="DF625" s="8"/>
      <c r="DG625" s="8"/>
      <c r="DH625" s="8"/>
      <c r="DI625" s="8"/>
      <c r="DJ625" s="8"/>
      <c r="DK625" s="8"/>
      <c r="DL625" s="8"/>
      <c r="DM625" s="8"/>
      <c r="DN625" s="8"/>
      <c r="DO625" s="8"/>
      <c r="DP625" s="8"/>
      <c r="DQ625" s="8"/>
      <c r="DR625" s="8"/>
      <c r="DS625" s="8"/>
      <c r="DT625" s="8"/>
      <c r="DU625" s="8"/>
      <c r="DV625" s="8"/>
      <c r="DW625" s="8"/>
      <c r="DX625" s="8"/>
      <c r="DY625" s="8"/>
      <c r="DZ625" s="8"/>
      <c r="EA625" s="8"/>
      <c r="EB625" s="8"/>
      <c r="EC625" s="8"/>
      <c r="ED625" s="8"/>
      <c r="EE625" s="8"/>
      <c r="EF625" s="8"/>
      <c r="EG625" s="8"/>
      <c r="EH625" s="8"/>
      <c r="EI625" s="8"/>
      <c r="EJ625" s="8"/>
      <c r="EK625" s="8"/>
      <c r="EL625" s="8"/>
      <c r="EM625" s="8"/>
      <c r="EN625" s="8"/>
      <c r="EO625" s="8"/>
      <c r="EP625" s="8"/>
      <c r="EQ625" s="8"/>
      <c r="ER625" s="8"/>
      <c r="ES625" s="8"/>
      <c r="ET625" s="8"/>
      <c r="EU625" s="8"/>
      <c r="EV625" s="8"/>
      <c r="EW625" s="8"/>
      <c r="EX625" s="8"/>
      <c r="EY625" s="8"/>
      <c r="EZ625" s="8"/>
      <c r="FA625" s="8"/>
      <c r="FB625" s="8"/>
      <c r="FC625" s="8"/>
      <c r="FD625" s="8"/>
      <c r="FE625" s="8"/>
      <c r="FF625" s="8"/>
      <c r="FG625" s="8"/>
      <c r="FH625" s="8"/>
      <c r="FI625" s="8"/>
      <c r="FJ625" s="8"/>
      <c r="FK625" s="8"/>
      <c r="FL625" s="8"/>
      <c r="FM625" s="8"/>
      <c r="FN625" s="8"/>
      <c r="FO625" s="8"/>
      <c r="FP625" s="8"/>
      <c r="FQ625" s="8"/>
      <c r="FR625" s="8"/>
      <c r="FS625" s="8"/>
      <c r="FT625" s="8"/>
      <c r="FU625" s="8"/>
      <c r="FV625" s="8"/>
      <c r="FW625" s="8"/>
      <c r="FX625" s="8"/>
      <c r="FY625" s="8"/>
      <c r="FZ625" s="8"/>
      <c r="GA625" s="8"/>
      <c r="GB625" s="8"/>
      <c r="GC625" s="8"/>
      <c r="GD625" s="8"/>
      <c r="GE625" s="8"/>
      <c r="GF625" s="8"/>
      <c r="GG625" s="8"/>
      <c r="GH625" s="8"/>
      <c r="GI625" s="8"/>
      <c r="GJ625" s="8"/>
      <c r="GK625" s="8"/>
      <c r="GL625" s="8"/>
      <c r="GM625" s="8"/>
      <c r="GN625" s="8"/>
      <c r="GO625" s="8"/>
      <c r="GP625" s="8"/>
      <c r="GQ625" s="8"/>
      <c r="GR625" s="8"/>
      <c r="GS625" s="8"/>
      <c r="GT625" s="8"/>
      <c r="GU625" s="8"/>
      <c r="GV625" s="8"/>
      <c r="GW625" s="8"/>
      <c r="GX625" s="8"/>
      <c r="GY625" s="8"/>
      <c r="GZ625" s="8"/>
      <c r="HA625" s="8"/>
      <c r="HB625" s="8"/>
      <c r="HC625" s="8"/>
      <c r="HD625" s="8"/>
      <c r="HE625" s="8"/>
      <c r="HF625" s="8"/>
      <c r="HG625" s="8"/>
      <c r="HH625" s="8"/>
      <c r="HI625" s="8"/>
      <c r="HJ625" s="8"/>
      <c r="HK625" s="8"/>
      <c r="HL625" s="8"/>
      <c r="HM625" s="8"/>
      <c r="HN625" s="8"/>
      <c r="HO625" s="8"/>
      <c r="HP625" s="8"/>
      <c r="HQ625" s="8"/>
      <c r="HR625" s="8"/>
      <c r="HS625" s="8"/>
      <c r="HT625" s="8"/>
      <c r="HU625" s="8"/>
      <c r="HV625" s="8"/>
      <c r="HW625" s="8"/>
      <c r="HX625" s="8"/>
      <c r="HY625" s="8"/>
      <c r="HZ625" s="8"/>
      <c r="IA625" s="8"/>
      <c r="IB625" s="8"/>
      <c r="IC625" s="8"/>
      <c r="ID625" s="8"/>
    </row>
    <row r="626" spans="5:23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c r="CL626" s="8"/>
      <c r="CM626" s="8"/>
      <c r="CN626" s="8"/>
      <c r="CO626" s="8"/>
      <c r="CP626" s="8"/>
      <c r="CQ626" s="8"/>
      <c r="CR626" s="8"/>
      <c r="CS626" s="8"/>
      <c r="CT626" s="8"/>
      <c r="CU626" s="8"/>
      <c r="CV626" s="8"/>
      <c r="CW626" s="8"/>
      <c r="CX626" s="8"/>
      <c r="CY626" s="8"/>
      <c r="CZ626" s="8"/>
      <c r="DA626" s="8"/>
      <c r="DB626" s="8"/>
      <c r="DC626" s="8"/>
      <c r="DD626" s="8"/>
      <c r="DE626" s="8"/>
      <c r="DF626" s="8"/>
      <c r="DG626" s="8"/>
      <c r="DH626" s="8"/>
      <c r="DI626" s="8"/>
      <c r="DJ626" s="8"/>
      <c r="DK626" s="8"/>
      <c r="DL626" s="8"/>
      <c r="DM626" s="8"/>
      <c r="DN626" s="8"/>
      <c r="DO626" s="8"/>
      <c r="DP626" s="8"/>
      <c r="DQ626" s="8"/>
      <c r="DR626" s="8"/>
      <c r="DS626" s="8"/>
      <c r="DT626" s="8"/>
      <c r="DU626" s="8"/>
      <c r="DV626" s="8"/>
      <c r="DW626" s="8"/>
      <c r="DX626" s="8"/>
      <c r="DY626" s="8"/>
      <c r="DZ626" s="8"/>
      <c r="EA626" s="8"/>
      <c r="EB626" s="8"/>
      <c r="EC626" s="8"/>
      <c r="ED626" s="8"/>
      <c r="EE626" s="8"/>
      <c r="EF626" s="8"/>
      <c r="EG626" s="8"/>
      <c r="EH626" s="8"/>
      <c r="EI626" s="8"/>
      <c r="EJ626" s="8"/>
      <c r="EK626" s="8"/>
      <c r="EL626" s="8"/>
      <c r="EM626" s="8"/>
      <c r="EN626" s="8"/>
      <c r="EO626" s="8"/>
      <c r="EP626" s="8"/>
      <c r="EQ626" s="8"/>
      <c r="ER626" s="8"/>
      <c r="ES626" s="8"/>
      <c r="ET626" s="8"/>
      <c r="EU626" s="8"/>
      <c r="EV626" s="8"/>
      <c r="EW626" s="8"/>
      <c r="EX626" s="8"/>
      <c r="EY626" s="8"/>
      <c r="EZ626" s="8"/>
      <c r="FA626" s="8"/>
      <c r="FB626" s="8"/>
      <c r="FC626" s="8"/>
      <c r="FD626" s="8"/>
      <c r="FE626" s="8"/>
      <c r="FF626" s="8"/>
      <c r="FG626" s="8"/>
      <c r="FH626" s="8"/>
      <c r="FI626" s="8"/>
      <c r="FJ626" s="8"/>
      <c r="FK626" s="8"/>
      <c r="FL626" s="8"/>
      <c r="FM626" s="8"/>
      <c r="FN626" s="8"/>
      <c r="FO626" s="8"/>
      <c r="FP626" s="8"/>
      <c r="FQ626" s="8"/>
      <c r="FR626" s="8"/>
      <c r="FS626" s="8"/>
      <c r="FT626" s="8"/>
      <c r="FU626" s="8"/>
      <c r="FV626" s="8"/>
      <c r="FW626" s="8"/>
      <c r="FX626" s="8"/>
      <c r="FY626" s="8"/>
      <c r="FZ626" s="8"/>
      <c r="GA626" s="8"/>
      <c r="GB626" s="8"/>
      <c r="GC626" s="8"/>
      <c r="GD626" s="8"/>
      <c r="GE626" s="8"/>
      <c r="GF626" s="8"/>
      <c r="GG626" s="8"/>
      <c r="GH626" s="8"/>
      <c r="GI626" s="8"/>
      <c r="GJ626" s="8"/>
      <c r="GK626" s="8"/>
      <c r="GL626" s="8"/>
      <c r="GM626" s="8"/>
      <c r="GN626" s="8"/>
      <c r="GO626" s="8"/>
      <c r="GP626" s="8"/>
      <c r="GQ626" s="8"/>
      <c r="GR626" s="8"/>
      <c r="GS626" s="8"/>
      <c r="GT626" s="8"/>
      <c r="GU626" s="8"/>
      <c r="GV626" s="8"/>
      <c r="GW626" s="8"/>
      <c r="GX626" s="8"/>
      <c r="GY626" s="8"/>
      <c r="GZ626" s="8"/>
      <c r="HA626" s="8"/>
      <c r="HB626" s="8"/>
      <c r="HC626" s="8"/>
      <c r="HD626" s="8"/>
      <c r="HE626" s="8"/>
      <c r="HF626" s="8"/>
      <c r="HG626" s="8"/>
      <c r="HH626" s="8"/>
      <c r="HI626" s="8"/>
      <c r="HJ626" s="8"/>
      <c r="HK626" s="8"/>
      <c r="HL626" s="8"/>
      <c r="HM626" s="8"/>
      <c r="HN626" s="8"/>
      <c r="HO626" s="8"/>
      <c r="HP626" s="8"/>
      <c r="HQ626" s="8"/>
      <c r="HR626" s="8"/>
      <c r="HS626" s="8"/>
      <c r="HT626" s="8"/>
      <c r="HU626" s="8"/>
      <c r="HV626" s="8"/>
      <c r="HW626" s="8"/>
      <c r="HX626" s="8"/>
      <c r="HY626" s="8"/>
      <c r="HZ626" s="8"/>
      <c r="IA626" s="8"/>
      <c r="IB626" s="8"/>
      <c r="IC626" s="8"/>
      <c r="ID626" s="8"/>
    </row>
    <row r="627" spans="5:23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c r="CB627" s="8"/>
      <c r="CC627" s="8"/>
      <c r="CD627" s="8"/>
      <c r="CE627" s="8"/>
      <c r="CF627" s="8"/>
      <c r="CG627" s="8"/>
      <c r="CH627" s="8"/>
      <c r="CI627" s="8"/>
      <c r="CJ627" s="8"/>
      <c r="CK627" s="8"/>
      <c r="CL627" s="8"/>
      <c r="CM627" s="8"/>
      <c r="CN627" s="8"/>
      <c r="CO627" s="8"/>
      <c r="CP627" s="8"/>
      <c r="CQ627" s="8"/>
      <c r="CR627" s="8"/>
      <c r="CS627" s="8"/>
      <c r="CT627" s="8"/>
      <c r="CU627" s="8"/>
      <c r="CV627" s="8"/>
      <c r="CW627" s="8"/>
      <c r="CX627" s="8"/>
      <c r="CY627" s="8"/>
      <c r="CZ627" s="8"/>
      <c r="DA627" s="8"/>
      <c r="DB627" s="8"/>
      <c r="DC627" s="8"/>
      <c r="DD627" s="8"/>
      <c r="DE627" s="8"/>
      <c r="DF627" s="8"/>
      <c r="DG627" s="8"/>
      <c r="DH627" s="8"/>
      <c r="DI627" s="8"/>
      <c r="DJ627" s="8"/>
      <c r="DK627" s="8"/>
      <c r="DL627" s="8"/>
      <c r="DM627" s="8"/>
      <c r="DN627" s="8"/>
      <c r="DO627" s="8"/>
      <c r="DP627" s="8"/>
      <c r="DQ627" s="8"/>
      <c r="DR627" s="8"/>
      <c r="DS627" s="8"/>
      <c r="DT627" s="8"/>
      <c r="DU627" s="8"/>
      <c r="DV627" s="8"/>
      <c r="DW627" s="8"/>
      <c r="DX627" s="8"/>
      <c r="DY627" s="8"/>
      <c r="DZ627" s="8"/>
      <c r="EA627" s="8"/>
      <c r="EB627" s="8"/>
      <c r="EC627" s="8"/>
      <c r="ED627" s="8"/>
      <c r="EE627" s="8"/>
      <c r="EF627" s="8"/>
      <c r="EG627" s="8"/>
      <c r="EH627" s="8"/>
      <c r="EI627" s="8"/>
      <c r="EJ627" s="8"/>
      <c r="EK627" s="8"/>
      <c r="EL627" s="8"/>
      <c r="EM627" s="8"/>
      <c r="EN627" s="8"/>
      <c r="EO627" s="8"/>
      <c r="EP627" s="8"/>
      <c r="EQ627" s="8"/>
      <c r="ER627" s="8"/>
      <c r="ES627" s="8"/>
      <c r="ET627" s="8"/>
      <c r="EU627" s="8"/>
      <c r="EV627" s="8"/>
      <c r="EW627" s="8"/>
      <c r="EX627" s="8"/>
      <c r="EY627" s="8"/>
      <c r="EZ627" s="8"/>
      <c r="FA627" s="8"/>
      <c r="FB627" s="8"/>
      <c r="FC627" s="8"/>
      <c r="FD627" s="8"/>
      <c r="FE627" s="8"/>
      <c r="FF627" s="8"/>
      <c r="FG627" s="8"/>
      <c r="FH627" s="8"/>
      <c r="FI627" s="8"/>
      <c r="FJ627" s="8"/>
      <c r="FK627" s="8"/>
      <c r="FL627" s="8"/>
      <c r="FM627" s="8"/>
      <c r="FN627" s="8"/>
      <c r="FO627" s="8"/>
      <c r="FP627" s="8"/>
      <c r="FQ627" s="8"/>
      <c r="FR627" s="8"/>
      <c r="FS627" s="8"/>
      <c r="FT627" s="8"/>
      <c r="FU627" s="8"/>
      <c r="FV627" s="8"/>
      <c r="FW627" s="8"/>
      <c r="FX627" s="8"/>
      <c r="FY627" s="8"/>
      <c r="FZ627" s="8"/>
      <c r="GA627" s="8"/>
      <c r="GB627" s="8"/>
      <c r="GC627" s="8"/>
      <c r="GD627" s="8"/>
      <c r="GE627" s="8"/>
      <c r="GF627" s="8"/>
      <c r="GG627" s="8"/>
      <c r="GH627" s="8"/>
      <c r="GI627" s="8"/>
      <c r="GJ627" s="8"/>
      <c r="GK627" s="8"/>
      <c r="GL627" s="8"/>
      <c r="GM627" s="8"/>
      <c r="GN627" s="8"/>
      <c r="GO627" s="8"/>
      <c r="GP627" s="8"/>
      <c r="GQ627" s="8"/>
      <c r="GR627" s="8"/>
      <c r="GS627" s="8"/>
      <c r="GT627" s="8"/>
      <c r="GU627" s="8"/>
      <c r="GV627" s="8"/>
      <c r="GW627" s="8"/>
      <c r="GX627" s="8"/>
      <c r="GY627" s="8"/>
      <c r="GZ627" s="8"/>
      <c r="HA627" s="8"/>
      <c r="HB627" s="8"/>
      <c r="HC627" s="8"/>
      <c r="HD627" s="8"/>
      <c r="HE627" s="8"/>
      <c r="HF627" s="8"/>
      <c r="HG627" s="8"/>
      <c r="HH627" s="8"/>
      <c r="HI627" s="8"/>
      <c r="HJ627" s="8"/>
      <c r="HK627" s="8"/>
      <c r="HL627" s="8"/>
      <c r="HM627" s="8"/>
      <c r="HN627" s="8"/>
      <c r="HO627" s="8"/>
      <c r="HP627" s="8"/>
      <c r="HQ627" s="8"/>
      <c r="HR627" s="8"/>
      <c r="HS627" s="8"/>
      <c r="HT627" s="8"/>
      <c r="HU627" s="8"/>
      <c r="HV627" s="8"/>
      <c r="HW627" s="8"/>
      <c r="HX627" s="8"/>
      <c r="HY627" s="8"/>
      <c r="HZ627" s="8"/>
      <c r="IA627" s="8"/>
      <c r="IB627" s="8"/>
      <c r="IC627" s="8"/>
      <c r="ID627" s="8"/>
    </row>
    <row r="628" spans="5:23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c r="CB628" s="8"/>
      <c r="CC628" s="8"/>
      <c r="CD628" s="8"/>
      <c r="CE628" s="8"/>
      <c r="CF628" s="8"/>
      <c r="CG628" s="8"/>
      <c r="CH628" s="8"/>
      <c r="CI628" s="8"/>
      <c r="CJ628" s="8"/>
      <c r="CK628" s="8"/>
      <c r="CL628" s="8"/>
      <c r="CM628" s="8"/>
      <c r="CN628" s="8"/>
      <c r="CO628" s="8"/>
      <c r="CP628" s="8"/>
      <c r="CQ628" s="8"/>
      <c r="CR628" s="8"/>
      <c r="CS628" s="8"/>
      <c r="CT628" s="8"/>
      <c r="CU628" s="8"/>
      <c r="CV628" s="8"/>
      <c r="CW628" s="8"/>
      <c r="CX628" s="8"/>
      <c r="CY628" s="8"/>
      <c r="CZ628" s="8"/>
      <c r="DA628" s="8"/>
      <c r="DB628" s="8"/>
      <c r="DC628" s="8"/>
      <c r="DD628" s="8"/>
      <c r="DE628" s="8"/>
      <c r="DF628" s="8"/>
      <c r="DG628" s="8"/>
      <c r="DH628" s="8"/>
      <c r="DI628" s="8"/>
      <c r="DJ628" s="8"/>
      <c r="DK628" s="8"/>
      <c r="DL628" s="8"/>
      <c r="DM628" s="8"/>
      <c r="DN628" s="8"/>
      <c r="DO628" s="8"/>
      <c r="DP628" s="8"/>
      <c r="DQ628" s="8"/>
      <c r="DR628" s="8"/>
      <c r="DS628" s="8"/>
      <c r="DT628" s="8"/>
      <c r="DU628" s="8"/>
      <c r="DV628" s="8"/>
      <c r="DW628" s="8"/>
      <c r="DX628" s="8"/>
      <c r="DY628" s="8"/>
      <c r="DZ628" s="8"/>
      <c r="EA628" s="8"/>
      <c r="EB628" s="8"/>
      <c r="EC628" s="8"/>
      <c r="ED628" s="8"/>
      <c r="EE628" s="8"/>
      <c r="EF628" s="8"/>
      <c r="EG628" s="8"/>
      <c r="EH628" s="8"/>
      <c r="EI628" s="8"/>
      <c r="EJ628" s="8"/>
      <c r="EK628" s="8"/>
      <c r="EL628" s="8"/>
      <c r="EM628" s="8"/>
      <c r="EN628" s="8"/>
      <c r="EO628" s="8"/>
      <c r="EP628" s="8"/>
      <c r="EQ628" s="8"/>
      <c r="ER628" s="8"/>
      <c r="ES628" s="8"/>
      <c r="ET628" s="8"/>
      <c r="EU628" s="8"/>
      <c r="EV628" s="8"/>
      <c r="EW628" s="8"/>
      <c r="EX628" s="8"/>
      <c r="EY628" s="8"/>
      <c r="EZ628" s="8"/>
      <c r="FA628" s="8"/>
      <c r="FB628" s="8"/>
      <c r="FC628" s="8"/>
      <c r="FD628" s="8"/>
      <c r="FE628" s="8"/>
      <c r="FF628" s="8"/>
      <c r="FG628" s="8"/>
      <c r="FH628" s="8"/>
      <c r="FI628" s="8"/>
      <c r="FJ628" s="8"/>
      <c r="FK628" s="8"/>
      <c r="FL628" s="8"/>
      <c r="FM628" s="8"/>
      <c r="FN628" s="8"/>
      <c r="FO628" s="8"/>
      <c r="FP628" s="8"/>
      <c r="FQ628" s="8"/>
      <c r="FR628" s="8"/>
      <c r="FS628" s="8"/>
      <c r="FT628" s="8"/>
      <c r="FU628" s="8"/>
      <c r="FV628" s="8"/>
      <c r="FW628" s="8"/>
      <c r="FX628" s="8"/>
      <c r="FY628" s="8"/>
      <c r="FZ628" s="8"/>
      <c r="GA628" s="8"/>
      <c r="GB628" s="8"/>
      <c r="GC628" s="8"/>
      <c r="GD628" s="8"/>
      <c r="GE628" s="8"/>
      <c r="GF628" s="8"/>
      <c r="GG628" s="8"/>
      <c r="GH628" s="8"/>
      <c r="GI628" s="8"/>
      <c r="GJ628" s="8"/>
      <c r="GK628" s="8"/>
      <c r="GL628" s="8"/>
      <c r="GM628" s="8"/>
      <c r="GN628" s="8"/>
      <c r="GO628" s="8"/>
      <c r="GP628" s="8"/>
      <c r="GQ628" s="8"/>
      <c r="GR628" s="8"/>
      <c r="GS628" s="8"/>
      <c r="GT628" s="8"/>
      <c r="GU628" s="8"/>
      <c r="GV628" s="8"/>
      <c r="GW628" s="8"/>
      <c r="GX628" s="8"/>
      <c r="GY628" s="8"/>
      <c r="GZ628" s="8"/>
      <c r="HA628" s="8"/>
      <c r="HB628" s="8"/>
      <c r="HC628" s="8"/>
      <c r="HD628" s="8"/>
      <c r="HE628" s="8"/>
      <c r="HF628" s="8"/>
      <c r="HG628" s="8"/>
      <c r="HH628" s="8"/>
      <c r="HI628" s="8"/>
      <c r="HJ628" s="8"/>
      <c r="HK628" s="8"/>
      <c r="HL628" s="8"/>
      <c r="HM628" s="8"/>
      <c r="HN628" s="8"/>
      <c r="HO628" s="8"/>
      <c r="HP628" s="8"/>
      <c r="HQ628" s="8"/>
      <c r="HR628" s="8"/>
      <c r="HS628" s="8"/>
      <c r="HT628" s="8"/>
      <c r="HU628" s="8"/>
      <c r="HV628" s="8"/>
      <c r="HW628" s="8"/>
      <c r="HX628" s="8"/>
      <c r="HY628" s="8"/>
      <c r="HZ628" s="8"/>
      <c r="IA628" s="8"/>
      <c r="IB628" s="8"/>
      <c r="IC628" s="8"/>
      <c r="ID628" s="8"/>
    </row>
    <row r="629" spans="5:23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c r="CB629" s="8"/>
      <c r="CC629" s="8"/>
      <c r="CD629" s="8"/>
      <c r="CE629" s="8"/>
      <c r="CF629" s="8"/>
      <c r="CG629" s="8"/>
      <c r="CH629" s="8"/>
      <c r="CI629" s="8"/>
      <c r="CJ629" s="8"/>
      <c r="CK629" s="8"/>
      <c r="CL629" s="8"/>
      <c r="CM629" s="8"/>
      <c r="CN629" s="8"/>
      <c r="CO629" s="8"/>
      <c r="CP629" s="8"/>
      <c r="CQ629" s="8"/>
      <c r="CR629" s="8"/>
      <c r="CS629" s="8"/>
      <c r="CT629" s="8"/>
      <c r="CU629" s="8"/>
      <c r="CV629" s="8"/>
      <c r="CW629" s="8"/>
      <c r="CX629" s="8"/>
      <c r="CY629" s="8"/>
      <c r="CZ629" s="8"/>
      <c r="DA629" s="8"/>
      <c r="DB629" s="8"/>
      <c r="DC629" s="8"/>
      <c r="DD629" s="8"/>
      <c r="DE629" s="8"/>
      <c r="DF629" s="8"/>
      <c r="DG629" s="8"/>
      <c r="DH629" s="8"/>
      <c r="DI629" s="8"/>
      <c r="DJ629" s="8"/>
      <c r="DK629" s="8"/>
      <c r="DL629" s="8"/>
      <c r="DM629" s="8"/>
      <c r="DN629" s="8"/>
      <c r="DO629" s="8"/>
      <c r="DP629" s="8"/>
      <c r="DQ629" s="8"/>
      <c r="DR629" s="8"/>
      <c r="DS629" s="8"/>
      <c r="DT629" s="8"/>
      <c r="DU629" s="8"/>
      <c r="DV629" s="8"/>
      <c r="DW629" s="8"/>
      <c r="DX629" s="8"/>
      <c r="DY629" s="8"/>
      <c r="DZ629" s="8"/>
      <c r="EA629" s="8"/>
      <c r="EB629" s="8"/>
      <c r="EC629" s="8"/>
      <c r="ED629" s="8"/>
      <c r="EE629" s="8"/>
      <c r="EF629" s="8"/>
      <c r="EG629" s="8"/>
      <c r="EH629" s="8"/>
      <c r="EI629" s="8"/>
      <c r="EJ629" s="8"/>
      <c r="EK629" s="8"/>
      <c r="EL629" s="8"/>
      <c r="EM629" s="8"/>
      <c r="EN629" s="8"/>
      <c r="EO629" s="8"/>
      <c r="EP629" s="8"/>
      <c r="EQ629" s="8"/>
      <c r="ER629" s="8"/>
      <c r="ES629" s="8"/>
      <c r="ET629" s="8"/>
      <c r="EU629" s="8"/>
      <c r="EV629" s="8"/>
      <c r="EW629" s="8"/>
      <c r="EX629" s="8"/>
      <c r="EY629" s="8"/>
      <c r="EZ629" s="8"/>
      <c r="FA629" s="8"/>
      <c r="FB629" s="8"/>
      <c r="FC629" s="8"/>
      <c r="FD629" s="8"/>
      <c r="FE629" s="8"/>
      <c r="FF629" s="8"/>
      <c r="FG629" s="8"/>
      <c r="FH629" s="8"/>
      <c r="FI629" s="8"/>
      <c r="FJ629" s="8"/>
      <c r="FK629" s="8"/>
      <c r="FL629" s="8"/>
      <c r="FM629" s="8"/>
      <c r="FN629" s="8"/>
      <c r="FO629" s="8"/>
      <c r="FP629" s="8"/>
      <c r="FQ629" s="8"/>
      <c r="FR629" s="8"/>
      <c r="FS629" s="8"/>
      <c r="FT629" s="8"/>
      <c r="FU629" s="8"/>
      <c r="FV629" s="8"/>
      <c r="FW629" s="8"/>
      <c r="FX629" s="8"/>
      <c r="FY629" s="8"/>
      <c r="FZ629" s="8"/>
      <c r="GA629" s="8"/>
      <c r="GB629" s="8"/>
      <c r="GC629" s="8"/>
      <c r="GD629" s="8"/>
      <c r="GE629" s="8"/>
      <c r="GF629" s="8"/>
      <c r="GG629" s="8"/>
      <c r="GH629" s="8"/>
      <c r="GI629" s="8"/>
      <c r="GJ629" s="8"/>
      <c r="GK629" s="8"/>
      <c r="GL629" s="8"/>
      <c r="GM629" s="8"/>
      <c r="GN629" s="8"/>
      <c r="GO629" s="8"/>
      <c r="GP629" s="8"/>
      <c r="GQ629" s="8"/>
      <c r="GR629" s="8"/>
      <c r="GS629" s="8"/>
      <c r="GT629" s="8"/>
      <c r="GU629" s="8"/>
      <c r="GV629" s="8"/>
      <c r="GW629" s="8"/>
      <c r="GX629" s="8"/>
      <c r="GY629" s="8"/>
      <c r="GZ629" s="8"/>
      <c r="HA629" s="8"/>
      <c r="HB629" s="8"/>
      <c r="HC629" s="8"/>
      <c r="HD629" s="8"/>
      <c r="HE629" s="8"/>
      <c r="HF629" s="8"/>
      <c r="HG629" s="8"/>
      <c r="HH629" s="8"/>
      <c r="HI629" s="8"/>
      <c r="HJ629" s="8"/>
      <c r="HK629" s="8"/>
      <c r="HL629" s="8"/>
      <c r="HM629" s="8"/>
      <c r="HN629" s="8"/>
      <c r="HO629" s="8"/>
      <c r="HP629" s="8"/>
      <c r="HQ629" s="8"/>
      <c r="HR629" s="8"/>
      <c r="HS629" s="8"/>
      <c r="HT629" s="8"/>
      <c r="HU629" s="8"/>
      <c r="HV629" s="8"/>
      <c r="HW629" s="8"/>
      <c r="HX629" s="8"/>
      <c r="HY629" s="8"/>
      <c r="HZ629" s="8"/>
      <c r="IA629" s="8"/>
      <c r="IB629" s="8"/>
      <c r="IC629" s="8"/>
      <c r="ID629" s="8"/>
    </row>
    <row r="630" spans="5:23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c r="CB630" s="8"/>
      <c r="CC630" s="8"/>
      <c r="CD630" s="8"/>
      <c r="CE630" s="8"/>
      <c r="CF630" s="8"/>
      <c r="CG630" s="8"/>
      <c r="CH630" s="8"/>
      <c r="CI630" s="8"/>
      <c r="CJ630" s="8"/>
      <c r="CK630" s="8"/>
      <c r="CL630" s="8"/>
      <c r="CM630" s="8"/>
      <c r="CN630" s="8"/>
      <c r="CO630" s="8"/>
      <c r="CP630" s="8"/>
      <c r="CQ630" s="8"/>
      <c r="CR630" s="8"/>
      <c r="CS630" s="8"/>
      <c r="CT630" s="8"/>
      <c r="CU630" s="8"/>
      <c r="CV630" s="8"/>
      <c r="CW630" s="8"/>
      <c r="CX630" s="8"/>
      <c r="CY630" s="8"/>
      <c r="CZ630" s="8"/>
      <c r="DA630" s="8"/>
      <c r="DB630" s="8"/>
      <c r="DC630" s="8"/>
      <c r="DD630" s="8"/>
      <c r="DE630" s="8"/>
      <c r="DF630" s="8"/>
      <c r="DG630" s="8"/>
      <c r="DH630" s="8"/>
      <c r="DI630" s="8"/>
      <c r="DJ630" s="8"/>
      <c r="DK630" s="8"/>
      <c r="DL630" s="8"/>
      <c r="DM630" s="8"/>
      <c r="DN630" s="8"/>
      <c r="DO630" s="8"/>
      <c r="DP630" s="8"/>
      <c r="DQ630" s="8"/>
      <c r="DR630" s="8"/>
      <c r="DS630" s="8"/>
      <c r="DT630" s="8"/>
      <c r="DU630" s="8"/>
      <c r="DV630" s="8"/>
      <c r="DW630" s="8"/>
      <c r="DX630" s="8"/>
      <c r="DY630" s="8"/>
      <c r="DZ630" s="8"/>
      <c r="EA630" s="8"/>
      <c r="EB630" s="8"/>
      <c r="EC630" s="8"/>
      <c r="ED630" s="8"/>
      <c r="EE630" s="8"/>
      <c r="EF630" s="8"/>
      <c r="EG630" s="8"/>
      <c r="EH630" s="8"/>
      <c r="EI630" s="8"/>
      <c r="EJ630" s="8"/>
      <c r="EK630" s="8"/>
      <c r="EL630" s="8"/>
      <c r="EM630" s="8"/>
      <c r="EN630" s="8"/>
      <c r="EO630" s="8"/>
      <c r="EP630" s="8"/>
      <c r="EQ630" s="8"/>
      <c r="ER630" s="8"/>
      <c r="ES630" s="8"/>
      <c r="ET630" s="8"/>
      <c r="EU630" s="8"/>
      <c r="EV630" s="8"/>
      <c r="EW630" s="8"/>
      <c r="EX630" s="8"/>
      <c r="EY630" s="8"/>
      <c r="EZ630" s="8"/>
      <c r="FA630" s="8"/>
      <c r="FB630" s="8"/>
      <c r="FC630" s="8"/>
      <c r="FD630" s="8"/>
      <c r="FE630" s="8"/>
      <c r="FF630" s="8"/>
      <c r="FG630" s="8"/>
      <c r="FH630" s="8"/>
      <c r="FI630" s="8"/>
      <c r="FJ630" s="8"/>
      <c r="FK630" s="8"/>
      <c r="FL630" s="8"/>
      <c r="FM630" s="8"/>
      <c r="FN630" s="8"/>
      <c r="FO630" s="8"/>
      <c r="FP630" s="8"/>
      <c r="FQ630" s="8"/>
      <c r="FR630" s="8"/>
      <c r="FS630" s="8"/>
      <c r="FT630" s="8"/>
      <c r="FU630" s="8"/>
      <c r="FV630" s="8"/>
      <c r="FW630" s="8"/>
      <c r="FX630" s="8"/>
      <c r="FY630" s="8"/>
      <c r="FZ630" s="8"/>
      <c r="GA630" s="8"/>
      <c r="GB630" s="8"/>
      <c r="GC630" s="8"/>
      <c r="GD630" s="8"/>
      <c r="GE630" s="8"/>
      <c r="GF630" s="8"/>
      <c r="GG630" s="8"/>
      <c r="GH630" s="8"/>
      <c r="GI630" s="8"/>
      <c r="GJ630" s="8"/>
      <c r="GK630" s="8"/>
      <c r="GL630" s="8"/>
      <c r="GM630" s="8"/>
      <c r="GN630" s="8"/>
      <c r="GO630" s="8"/>
      <c r="GP630" s="8"/>
      <c r="GQ630" s="8"/>
      <c r="GR630" s="8"/>
      <c r="GS630" s="8"/>
      <c r="GT630" s="8"/>
      <c r="GU630" s="8"/>
      <c r="GV630" s="8"/>
      <c r="GW630" s="8"/>
      <c r="GX630" s="8"/>
      <c r="GY630" s="8"/>
      <c r="GZ630" s="8"/>
      <c r="HA630" s="8"/>
      <c r="HB630" s="8"/>
      <c r="HC630" s="8"/>
      <c r="HD630" s="8"/>
      <c r="HE630" s="8"/>
      <c r="HF630" s="8"/>
      <c r="HG630" s="8"/>
      <c r="HH630" s="8"/>
      <c r="HI630" s="8"/>
      <c r="HJ630" s="8"/>
      <c r="HK630" s="8"/>
      <c r="HL630" s="8"/>
      <c r="HM630" s="8"/>
      <c r="HN630" s="8"/>
      <c r="HO630" s="8"/>
      <c r="HP630" s="8"/>
      <c r="HQ630" s="8"/>
      <c r="HR630" s="8"/>
      <c r="HS630" s="8"/>
      <c r="HT630" s="8"/>
      <c r="HU630" s="8"/>
      <c r="HV630" s="8"/>
      <c r="HW630" s="8"/>
      <c r="HX630" s="8"/>
      <c r="HY630" s="8"/>
      <c r="HZ630" s="8"/>
      <c r="IA630" s="8"/>
      <c r="IB630" s="8"/>
      <c r="IC630" s="8"/>
      <c r="ID630" s="8"/>
    </row>
    <row r="631" spans="5:23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c r="CL631" s="8"/>
      <c r="CM631" s="8"/>
      <c r="CN631" s="8"/>
      <c r="CO631" s="8"/>
      <c r="CP631" s="8"/>
      <c r="CQ631" s="8"/>
      <c r="CR631" s="8"/>
      <c r="CS631" s="8"/>
      <c r="CT631" s="8"/>
      <c r="CU631" s="8"/>
      <c r="CV631" s="8"/>
      <c r="CW631" s="8"/>
      <c r="CX631" s="8"/>
      <c r="CY631" s="8"/>
      <c r="CZ631" s="8"/>
      <c r="DA631" s="8"/>
      <c r="DB631" s="8"/>
      <c r="DC631" s="8"/>
      <c r="DD631" s="8"/>
      <c r="DE631" s="8"/>
      <c r="DF631" s="8"/>
      <c r="DG631" s="8"/>
      <c r="DH631" s="8"/>
      <c r="DI631" s="8"/>
      <c r="DJ631" s="8"/>
      <c r="DK631" s="8"/>
      <c r="DL631" s="8"/>
      <c r="DM631" s="8"/>
      <c r="DN631" s="8"/>
      <c r="DO631" s="8"/>
      <c r="DP631" s="8"/>
      <c r="DQ631" s="8"/>
      <c r="DR631" s="8"/>
      <c r="DS631" s="8"/>
      <c r="DT631" s="8"/>
      <c r="DU631" s="8"/>
      <c r="DV631" s="8"/>
      <c r="DW631" s="8"/>
      <c r="DX631" s="8"/>
      <c r="DY631" s="8"/>
      <c r="DZ631" s="8"/>
      <c r="EA631" s="8"/>
      <c r="EB631" s="8"/>
      <c r="EC631" s="8"/>
      <c r="ED631" s="8"/>
      <c r="EE631" s="8"/>
      <c r="EF631" s="8"/>
      <c r="EG631" s="8"/>
      <c r="EH631" s="8"/>
      <c r="EI631" s="8"/>
      <c r="EJ631" s="8"/>
      <c r="EK631" s="8"/>
      <c r="EL631" s="8"/>
      <c r="EM631" s="8"/>
      <c r="EN631" s="8"/>
      <c r="EO631" s="8"/>
      <c r="EP631" s="8"/>
      <c r="EQ631" s="8"/>
      <c r="ER631" s="8"/>
      <c r="ES631" s="8"/>
      <c r="ET631" s="8"/>
      <c r="EU631" s="8"/>
      <c r="EV631" s="8"/>
      <c r="EW631" s="8"/>
      <c r="EX631" s="8"/>
      <c r="EY631" s="8"/>
      <c r="EZ631" s="8"/>
      <c r="FA631" s="8"/>
      <c r="FB631" s="8"/>
      <c r="FC631" s="8"/>
      <c r="FD631" s="8"/>
      <c r="FE631" s="8"/>
      <c r="FF631" s="8"/>
      <c r="FG631" s="8"/>
      <c r="FH631" s="8"/>
      <c r="FI631" s="8"/>
      <c r="FJ631" s="8"/>
      <c r="FK631" s="8"/>
      <c r="FL631" s="8"/>
      <c r="FM631" s="8"/>
      <c r="FN631" s="8"/>
      <c r="FO631" s="8"/>
      <c r="FP631" s="8"/>
      <c r="FQ631" s="8"/>
      <c r="FR631" s="8"/>
      <c r="FS631" s="8"/>
      <c r="FT631" s="8"/>
      <c r="FU631" s="8"/>
      <c r="FV631" s="8"/>
      <c r="FW631" s="8"/>
      <c r="FX631" s="8"/>
      <c r="FY631" s="8"/>
      <c r="FZ631" s="8"/>
      <c r="GA631" s="8"/>
      <c r="GB631" s="8"/>
      <c r="GC631" s="8"/>
      <c r="GD631" s="8"/>
      <c r="GE631" s="8"/>
      <c r="GF631" s="8"/>
      <c r="GG631" s="8"/>
      <c r="GH631" s="8"/>
      <c r="GI631" s="8"/>
      <c r="GJ631" s="8"/>
      <c r="GK631" s="8"/>
      <c r="GL631" s="8"/>
      <c r="GM631" s="8"/>
      <c r="GN631" s="8"/>
      <c r="GO631" s="8"/>
      <c r="GP631" s="8"/>
      <c r="GQ631" s="8"/>
      <c r="GR631" s="8"/>
      <c r="GS631" s="8"/>
      <c r="GT631" s="8"/>
      <c r="GU631" s="8"/>
      <c r="GV631" s="8"/>
      <c r="GW631" s="8"/>
      <c r="GX631" s="8"/>
      <c r="GY631" s="8"/>
      <c r="GZ631" s="8"/>
      <c r="HA631" s="8"/>
      <c r="HB631" s="8"/>
      <c r="HC631" s="8"/>
      <c r="HD631" s="8"/>
      <c r="HE631" s="8"/>
      <c r="HF631" s="8"/>
      <c r="HG631" s="8"/>
      <c r="HH631" s="8"/>
      <c r="HI631" s="8"/>
      <c r="HJ631" s="8"/>
      <c r="HK631" s="8"/>
      <c r="HL631" s="8"/>
      <c r="HM631" s="8"/>
      <c r="HN631" s="8"/>
      <c r="HO631" s="8"/>
      <c r="HP631" s="8"/>
      <c r="HQ631" s="8"/>
      <c r="HR631" s="8"/>
      <c r="HS631" s="8"/>
      <c r="HT631" s="8"/>
      <c r="HU631" s="8"/>
      <c r="HV631" s="8"/>
      <c r="HW631" s="8"/>
      <c r="HX631" s="8"/>
      <c r="HY631" s="8"/>
      <c r="HZ631" s="8"/>
      <c r="IA631" s="8"/>
      <c r="IB631" s="8"/>
      <c r="IC631" s="8"/>
      <c r="ID631" s="8"/>
    </row>
    <row r="632" spans="5:23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c r="CB632" s="8"/>
      <c r="CC632" s="8"/>
      <c r="CD632" s="8"/>
      <c r="CE632" s="8"/>
      <c r="CF632" s="8"/>
      <c r="CG632" s="8"/>
      <c r="CH632" s="8"/>
      <c r="CI632" s="8"/>
      <c r="CJ632" s="8"/>
      <c r="CK632" s="8"/>
      <c r="CL632" s="8"/>
      <c r="CM632" s="8"/>
      <c r="CN632" s="8"/>
      <c r="CO632" s="8"/>
      <c r="CP632" s="8"/>
      <c r="CQ632" s="8"/>
      <c r="CR632" s="8"/>
      <c r="CS632" s="8"/>
      <c r="CT632" s="8"/>
      <c r="CU632" s="8"/>
      <c r="CV632" s="8"/>
      <c r="CW632" s="8"/>
      <c r="CX632" s="8"/>
      <c r="CY632" s="8"/>
      <c r="CZ632" s="8"/>
      <c r="DA632" s="8"/>
      <c r="DB632" s="8"/>
      <c r="DC632" s="8"/>
      <c r="DD632" s="8"/>
      <c r="DE632" s="8"/>
      <c r="DF632" s="8"/>
      <c r="DG632" s="8"/>
      <c r="DH632" s="8"/>
      <c r="DI632" s="8"/>
      <c r="DJ632" s="8"/>
      <c r="DK632" s="8"/>
      <c r="DL632" s="8"/>
      <c r="DM632" s="8"/>
      <c r="DN632" s="8"/>
      <c r="DO632" s="8"/>
      <c r="DP632" s="8"/>
      <c r="DQ632" s="8"/>
      <c r="DR632" s="8"/>
      <c r="DS632" s="8"/>
      <c r="DT632" s="8"/>
      <c r="DU632" s="8"/>
      <c r="DV632" s="8"/>
      <c r="DW632" s="8"/>
      <c r="DX632" s="8"/>
      <c r="DY632" s="8"/>
      <c r="DZ632" s="8"/>
      <c r="EA632" s="8"/>
      <c r="EB632" s="8"/>
      <c r="EC632" s="8"/>
      <c r="ED632" s="8"/>
      <c r="EE632" s="8"/>
      <c r="EF632" s="8"/>
      <c r="EG632" s="8"/>
      <c r="EH632" s="8"/>
      <c r="EI632" s="8"/>
      <c r="EJ632" s="8"/>
      <c r="EK632" s="8"/>
      <c r="EL632" s="8"/>
      <c r="EM632" s="8"/>
      <c r="EN632" s="8"/>
      <c r="EO632" s="8"/>
      <c r="EP632" s="8"/>
      <c r="EQ632" s="8"/>
      <c r="ER632" s="8"/>
      <c r="ES632" s="8"/>
      <c r="ET632" s="8"/>
      <c r="EU632" s="8"/>
      <c r="EV632" s="8"/>
      <c r="EW632" s="8"/>
      <c r="EX632" s="8"/>
      <c r="EY632" s="8"/>
      <c r="EZ632" s="8"/>
      <c r="FA632" s="8"/>
      <c r="FB632" s="8"/>
      <c r="FC632" s="8"/>
      <c r="FD632" s="8"/>
      <c r="FE632" s="8"/>
      <c r="FF632" s="8"/>
      <c r="FG632" s="8"/>
      <c r="FH632" s="8"/>
      <c r="FI632" s="8"/>
      <c r="FJ632" s="8"/>
      <c r="FK632" s="8"/>
      <c r="FL632" s="8"/>
      <c r="FM632" s="8"/>
      <c r="FN632" s="8"/>
      <c r="FO632" s="8"/>
      <c r="FP632" s="8"/>
      <c r="FQ632" s="8"/>
      <c r="FR632" s="8"/>
      <c r="FS632" s="8"/>
      <c r="FT632" s="8"/>
      <c r="FU632" s="8"/>
      <c r="FV632" s="8"/>
      <c r="FW632" s="8"/>
      <c r="FX632" s="8"/>
      <c r="FY632" s="8"/>
      <c r="FZ632" s="8"/>
      <c r="GA632" s="8"/>
      <c r="GB632" s="8"/>
      <c r="GC632" s="8"/>
      <c r="GD632" s="8"/>
      <c r="GE632" s="8"/>
      <c r="GF632" s="8"/>
      <c r="GG632" s="8"/>
      <c r="GH632" s="8"/>
      <c r="GI632" s="8"/>
      <c r="GJ632" s="8"/>
      <c r="GK632" s="8"/>
      <c r="GL632" s="8"/>
      <c r="GM632" s="8"/>
      <c r="GN632" s="8"/>
      <c r="GO632" s="8"/>
      <c r="GP632" s="8"/>
      <c r="GQ632" s="8"/>
      <c r="GR632" s="8"/>
      <c r="GS632" s="8"/>
      <c r="GT632" s="8"/>
      <c r="GU632" s="8"/>
      <c r="GV632" s="8"/>
      <c r="GW632" s="8"/>
      <c r="GX632" s="8"/>
      <c r="GY632" s="8"/>
      <c r="GZ632" s="8"/>
      <c r="HA632" s="8"/>
      <c r="HB632" s="8"/>
      <c r="HC632" s="8"/>
      <c r="HD632" s="8"/>
      <c r="HE632" s="8"/>
      <c r="HF632" s="8"/>
      <c r="HG632" s="8"/>
      <c r="HH632" s="8"/>
      <c r="HI632" s="8"/>
      <c r="HJ632" s="8"/>
      <c r="HK632" s="8"/>
      <c r="HL632" s="8"/>
      <c r="HM632" s="8"/>
      <c r="HN632" s="8"/>
      <c r="HO632" s="8"/>
      <c r="HP632" s="8"/>
      <c r="HQ632" s="8"/>
      <c r="HR632" s="8"/>
      <c r="HS632" s="8"/>
      <c r="HT632" s="8"/>
      <c r="HU632" s="8"/>
      <c r="HV632" s="8"/>
      <c r="HW632" s="8"/>
      <c r="HX632" s="8"/>
      <c r="HY632" s="8"/>
      <c r="HZ632" s="8"/>
      <c r="IA632" s="8"/>
      <c r="IB632" s="8"/>
      <c r="IC632" s="8"/>
      <c r="ID632" s="8"/>
    </row>
    <row r="633" spans="5:23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c r="CL633" s="8"/>
      <c r="CM633" s="8"/>
      <c r="CN633" s="8"/>
      <c r="CO633" s="8"/>
      <c r="CP633" s="8"/>
      <c r="CQ633" s="8"/>
      <c r="CR633" s="8"/>
      <c r="CS633" s="8"/>
      <c r="CT633" s="8"/>
      <c r="CU633" s="8"/>
      <c r="CV633" s="8"/>
      <c r="CW633" s="8"/>
      <c r="CX633" s="8"/>
      <c r="CY633" s="8"/>
      <c r="CZ633" s="8"/>
      <c r="DA633" s="8"/>
      <c r="DB633" s="8"/>
      <c r="DC633" s="8"/>
      <c r="DD633" s="8"/>
      <c r="DE633" s="8"/>
      <c r="DF633" s="8"/>
      <c r="DG633" s="8"/>
      <c r="DH633" s="8"/>
      <c r="DI633" s="8"/>
      <c r="DJ633" s="8"/>
      <c r="DK633" s="8"/>
      <c r="DL633" s="8"/>
      <c r="DM633" s="8"/>
      <c r="DN633" s="8"/>
      <c r="DO633" s="8"/>
      <c r="DP633" s="8"/>
      <c r="DQ633" s="8"/>
      <c r="DR633" s="8"/>
      <c r="DS633" s="8"/>
      <c r="DT633" s="8"/>
      <c r="DU633" s="8"/>
      <c r="DV633" s="8"/>
      <c r="DW633" s="8"/>
      <c r="DX633" s="8"/>
      <c r="DY633" s="8"/>
      <c r="DZ633" s="8"/>
      <c r="EA633" s="8"/>
      <c r="EB633" s="8"/>
      <c r="EC633" s="8"/>
      <c r="ED633" s="8"/>
      <c r="EE633" s="8"/>
      <c r="EF633" s="8"/>
      <c r="EG633" s="8"/>
      <c r="EH633" s="8"/>
      <c r="EI633" s="8"/>
      <c r="EJ633" s="8"/>
      <c r="EK633" s="8"/>
      <c r="EL633" s="8"/>
      <c r="EM633" s="8"/>
      <c r="EN633" s="8"/>
      <c r="EO633" s="8"/>
      <c r="EP633" s="8"/>
      <c r="EQ633" s="8"/>
      <c r="ER633" s="8"/>
      <c r="ES633" s="8"/>
      <c r="ET633" s="8"/>
      <c r="EU633" s="8"/>
      <c r="EV633" s="8"/>
      <c r="EW633" s="8"/>
      <c r="EX633" s="8"/>
      <c r="EY633" s="8"/>
      <c r="EZ633" s="8"/>
      <c r="FA633" s="8"/>
      <c r="FB633" s="8"/>
      <c r="FC633" s="8"/>
      <c r="FD633" s="8"/>
      <c r="FE633" s="8"/>
      <c r="FF633" s="8"/>
      <c r="FG633" s="8"/>
      <c r="FH633" s="8"/>
      <c r="FI633" s="8"/>
      <c r="FJ633" s="8"/>
      <c r="FK633" s="8"/>
      <c r="FL633" s="8"/>
      <c r="FM633" s="8"/>
      <c r="FN633" s="8"/>
      <c r="FO633" s="8"/>
      <c r="FP633" s="8"/>
      <c r="FQ633" s="8"/>
      <c r="FR633" s="8"/>
      <c r="FS633" s="8"/>
      <c r="FT633" s="8"/>
      <c r="FU633" s="8"/>
      <c r="FV633" s="8"/>
      <c r="FW633" s="8"/>
      <c r="FX633" s="8"/>
      <c r="FY633" s="8"/>
      <c r="FZ633" s="8"/>
      <c r="GA633" s="8"/>
      <c r="GB633" s="8"/>
      <c r="GC633" s="8"/>
      <c r="GD633" s="8"/>
      <c r="GE633" s="8"/>
      <c r="GF633" s="8"/>
      <c r="GG633" s="8"/>
      <c r="GH633" s="8"/>
      <c r="GI633" s="8"/>
      <c r="GJ633" s="8"/>
      <c r="GK633" s="8"/>
      <c r="GL633" s="8"/>
      <c r="GM633" s="8"/>
      <c r="GN633" s="8"/>
      <c r="GO633" s="8"/>
      <c r="GP633" s="8"/>
      <c r="GQ633" s="8"/>
      <c r="GR633" s="8"/>
      <c r="GS633" s="8"/>
      <c r="GT633" s="8"/>
      <c r="GU633" s="8"/>
      <c r="GV633" s="8"/>
      <c r="GW633" s="8"/>
      <c r="GX633" s="8"/>
      <c r="GY633" s="8"/>
      <c r="GZ633" s="8"/>
      <c r="HA633" s="8"/>
      <c r="HB633" s="8"/>
      <c r="HC633" s="8"/>
      <c r="HD633" s="8"/>
      <c r="HE633" s="8"/>
      <c r="HF633" s="8"/>
      <c r="HG633" s="8"/>
      <c r="HH633" s="8"/>
      <c r="HI633" s="8"/>
      <c r="HJ633" s="8"/>
      <c r="HK633" s="8"/>
      <c r="HL633" s="8"/>
      <c r="HM633" s="8"/>
      <c r="HN633" s="8"/>
      <c r="HO633" s="8"/>
      <c r="HP633" s="8"/>
      <c r="HQ633" s="8"/>
      <c r="HR633" s="8"/>
      <c r="HS633" s="8"/>
      <c r="HT633" s="8"/>
      <c r="HU633" s="8"/>
      <c r="HV633" s="8"/>
      <c r="HW633" s="8"/>
      <c r="HX633" s="8"/>
      <c r="HY633" s="8"/>
      <c r="HZ633" s="8"/>
      <c r="IA633" s="8"/>
      <c r="IB633" s="8"/>
      <c r="IC633" s="8"/>
      <c r="ID633" s="8"/>
    </row>
    <row r="634" spans="5:23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c r="CL634" s="8"/>
      <c r="CM634" s="8"/>
      <c r="CN634" s="8"/>
      <c r="CO634" s="8"/>
      <c r="CP634" s="8"/>
      <c r="CQ634" s="8"/>
      <c r="CR634" s="8"/>
      <c r="CS634" s="8"/>
      <c r="CT634" s="8"/>
      <c r="CU634" s="8"/>
      <c r="CV634" s="8"/>
      <c r="CW634" s="8"/>
      <c r="CX634" s="8"/>
      <c r="CY634" s="8"/>
      <c r="CZ634" s="8"/>
      <c r="DA634" s="8"/>
      <c r="DB634" s="8"/>
      <c r="DC634" s="8"/>
      <c r="DD634" s="8"/>
      <c r="DE634" s="8"/>
      <c r="DF634" s="8"/>
      <c r="DG634" s="8"/>
      <c r="DH634" s="8"/>
      <c r="DI634" s="8"/>
      <c r="DJ634" s="8"/>
      <c r="DK634" s="8"/>
      <c r="DL634" s="8"/>
      <c r="DM634" s="8"/>
      <c r="DN634" s="8"/>
      <c r="DO634" s="8"/>
      <c r="DP634" s="8"/>
      <c r="DQ634" s="8"/>
      <c r="DR634" s="8"/>
      <c r="DS634" s="8"/>
      <c r="DT634" s="8"/>
      <c r="DU634" s="8"/>
      <c r="DV634" s="8"/>
      <c r="DW634" s="8"/>
      <c r="DX634" s="8"/>
      <c r="DY634" s="8"/>
      <c r="DZ634" s="8"/>
      <c r="EA634" s="8"/>
      <c r="EB634" s="8"/>
      <c r="EC634" s="8"/>
      <c r="ED634" s="8"/>
      <c r="EE634" s="8"/>
      <c r="EF634" s="8"/>
      <c r="EG634" s="8"/>
      <c r="EH634" s="8"/>
      <c r="EI634" s="8"/>
      <c r="EJ634" s="8"/>
      <c r="EK634" s="8"/>
      <c r="EL634" s="8"/>
      <c r="EM634" s="8"/>
      <c r="EN634" s="8"/>
      <c r="EO634" s="8"/>
      <c r="EP634" s="8"/>
      <c r="EQ634" s="8"/>
      <c r="ER634" s="8"/>
      <c r="ES634" s="8"/>
      <c r="ET634" s="8"/>
      <c r="EU634" s="8"/>
      <c r="EV634" s="8"/>
      <c r="EW634" s="8"/>
      <c r="EX634" s="8"/>
      <c r="EY634" s="8"/>
      <c r="EZ634" s="8"/>
      <c r="FA634" s="8"/>
      <c r="FB634" s="8"/>
      <c r="FC634" s="8"/>
      <c r="FD634" s="8"/>
      <c r="FE634" s="8"/>
      <c r="FF634" s="8"/>
      <c r="FG634" s="8"/>
      <c r="FH634" s="8"/>
      <c r="FI634" s="8"/>
      <c r="FJ634" s="8"/>
      <c r="FK634" s="8"/>
      <c r="FL634" s="8"/>
      <c r="FM634" s="8"/>
      <c r="FN634" s="8"/>
      <c r="FO634" s="8"/>
      <c r="FP634" s="8"/>
      <c r="FQ634" s="8"/>
      <c r="FR634" s="8"/>
      <c r="FS634" s="8"/>
      <c r="FT634" s="8"/>
      <c r="FU634" s="8"/>
      <c r="FV634" s="8"/>
      <c r="FW634" s="8"/>
      <c r="FX634" s="8"/>
      <c r="FY634" s="8"/>
      <c r="FZ634" s="8"/>
      <c r="GA634" s="8"/>
      <c r="GB634" s="8"/>
      <c r="GC634" s="8"/>
      <c r="GD634" s="8"/>
      <c r="GE634" s="8"/>
      <c r="GF634" s="8"/>
      <c r="GG634" s="8"/>
      <c r="GH634" s="8"/>
      <c r="GI634" s="8"/>
      <c r="GJ634" s="8"/>
      <c r="GK634" s="8"/>
      <c r="GL634" s="8"/>
      <c r="GM634" s="8"/>
      <c r="GN634" s="8"/>
      <c r="GO634" s="8"/>
      <c r="GP634" s="8"/>
      <c r="GQ634" s="8"/>
      <c r="GR634" s="8"/>
      <c r="GS634" s="8"/>
      <c r="GT634" s="8"/>
      <c r="GU634" s="8"/>
      <c r="GV634" s="8"/>
      <c r="GW634" s="8"/>
      <c r="GX634" s="8"/>
      <c r="GY634" s="8"/>
      <c r="GZ634" s="8"/>
      <c r="HA634" s="8"/>
      <c r="HB634" s="8"/>
      <c r="HC634" s="8"/>
      <c r="HD634" s="8"/>
      <c r="HE634" s="8"/>
      <c r="HF634" s="8"/>
      <c r="HG634" s="8"/>
      <c r="HH634" s="8"/>
      <c r="HI634" s="8"/>
      <c r="HJ634" s="8"/>
      <c r="HK634" s="8"/>
      <c r="HL634" s="8"/>
      <c r="HM634" s="8"/>
      <c r="HN634" s="8"/>
      <c r="HO634" s="8"/>
      <c r="HP634" s="8"/>
      <c r="HQ634" s="8"/>
      <c r="HR634" s="8"/>
      <c r="HS634" s="8"/>
      <c r="HT634" s="8"/>
      <c r="HU634" s="8"/>
      <c r="HV634" s="8"/>
      <c r="HW634" s="8"/>
      <c r="HX634" s="8"/>
      <c r="HY634" s="8"/>
      <c r="HZ634" s="8"/>
      <c r="IA634" s="8"/>
      <c r="IB634" s="8"/>
      <c r="IC634" s="8"/>
      <c r="ID634" s="8"/>
    </row>
    <row r="635" spans="5:23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c r="CD635" s="8"/>
      <c r="CE635" s="8"/>
      <c r="CF635" s="8"/>
      <c r="CG635" s="8"/>
      <c r="CH635" s="8"/>
      <c r="CI635" s="8"/>
      <c r="CJ635" s="8"/>
      <c r="CK635" s="8"/>
      <c r="CL635" s="8"/>
      <c r="CM635" s="8"/>
      <c r="CN635" s="8"/>
      <c r="CO635" s="8"/>
      <c r="CP635" s="8"/>
      <c r="CQ635" s="8"/>
      <c r="CR635" s="8"/>
      <c r="CS635" s="8"/>
      <c r="CT635" s="8"/>
      <c r="CU635" s="8"/>
      <c r="CV635" s="8"/>
      <c r="CW635" s="8"/>
      <c r="CX635" s="8"/>
      <c r="CY635" s="8"/>
      <c r="CZ635" s="8"/>
      <c r="DA635" s="8"/>
      <c r="DB635" s="8"/>
      <c r="DC635" s="8"/>
      <c r="DD635" s="8"/>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8"/>
      <c r="EE635" s="8"/>
      <c r="EF635" s="8"/>
      <c r="EG635" s="8"/>
      <c r="EH635" s="8"/>
      <c r="EI635" s="8"/>
      <c r="EJ635" s="8"/>
      <c r="EK635" s="8"/>
      <c r="EL635" s="8"/>
      <c r="EM635" s="8"/>
      <c r="EN635" s="8"/>
      <c r="EO635" s="8"/>
      <c r="EP635" s="8"/>
      <c r="EQ635" s="8"/>
      <c r="ER635" s="8"/>
      <c r="ES635" s="8"/>
      <c r="ET635" s="8"/>
      <c r="EU635" s="8"/>
      <c r="EV635" s="8"/>
      <c r="EW635" s="8"/>
      <c r="EX635" s="8"/>
      <c r="EY635" s="8"/>
      <c r="EZ635" s="8"/>
      <c r="FA635" s="8"/>
      <c r="FB635" s="8"/>
      <c r="FC635" s="8"/>
      <c r="FD635" s="8"/>
      <c r="FE635" s="8"/>
      <c r="FF635" s="8"/>
      <c r="FG635" s="8"/>
      <c r="FH635" s="8"/>
      <c r="FI635" s="8"/>
      <c r="FJ635" s="8"/>
      <c r="FK635" s="8"/>
      <c r="FL635" s="8"/>
      <c r="FM635" s="8"/>
      <c r="FN635" s="8"/>
      <c r="FO635" s="8"/>
      <c r="FP635" s="8"/>
      <c r="FQ635" s="8"/>
      <c r="FR635" s="8"/>
      <c r="FS635" s="8"/>
      <c r="FT635" s="8"/>
      <c r="FU635" s="8"/>
      <c r="FV635" s="8"/>
      <c r="FW635" s="8"/>
      <c r="FX635" s="8"/>
      <c r="FY635" s="8"/>
      <c r="FZ635" s="8"/>
      <c r="GA635" s="8"/>
      <c r="GB635" s="8"/>
      <c r="GC635" s="8"/>
      <c r="GD635" s="8"/>
      <c r="GE635" s="8"/>
      <c r="GF635" s="8"/>
      <c r="GG635" s="8"/>
      <c r="GH635" s="8"/>
      <c r="GI635" s="8"/>
      <c r="GJ635" s="8"/>
      <c r="GK635" s="8"/>
      <c r="GL635" s="8"/>
      <c r="GM635" s="8"/>
      <c r="GN635" s="8"/>
      <c r="GO635" s="8"/>
      <c r="GP635" s="8"/>
      <c r="GQ635" s="8"/>
      <c r="GR635" s="8"/>
      <c r="GS635" s="8"/>
      <c r="GT635" s="8"/>
      <c r="GU635" s="8"/>
      <c r="GV635" s="8"/>
      <c r="GW635" s="8"/>
      <c r="GX635" s="8"/>
      <c r="GY635" s="8"/>
      <c r="GZ635" s="8"/>
      <c r="HA635" s="8"/>
      <c r="HB635" s="8"/>
      <c r="HC635" s="8"/>
      <c r="HD635" s="8"/>
      <c r="HE635" s="8"/>
      <c r="HF635" s="8"/>
      <c r="HG635" s="8"/>
      <c r="HH635" s="8"/>
      <c r="HI635" s="8"/>
      <c r="HJ635" s="8"/>
      <c r="HK635" s="8"/>
      <c r="HL635" s="8"/>
      <c r="HM635" s="8"/>
      <c r="HN635" s="8"/>
      <c r="HO635" s="8"/>
      <c r="HP635" s="8"/>
      <c r="HQ635" s="8"/>
      <c r="HR635" s="8"/>
      <c r="HS635" s="8"/>
      <c r="HT635" s="8"/>
      <c r="HU635" s="8"/>
      <c r="HV635" s="8"/>
      <c r="HW635" s="8"/>
      <c r="HX635" s="8"/>
      <c r="HY635" s="8"/>
      <c r="HZ635" s="8"/>
      <c r="IA635" s="8"/>
      <c r="IB635" s="8"/>
      <c r="IC635" s="8"/>
      <c r="ID635" s="8"/>
    </row>
    <row r="636" spans="5:23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c r="CB636" s="8"/>
      <c r="CC636" s="8"/>
      <c r="CD636" s="8"/>
      <c r="CE636" s="8"/>
      <c r="CF636" s="8"/>
      <c r="CG636" s="8"/>
      <c r="CH636" s="8"/>
      <c r="CI636" s="8"/>
      <c r="CJ636" s="8"/>
      <c r="CK636" s="8"/>
      <c r="CL636" s="8"/>
      <c r="CM636" s="8"/>
      <c r="CN636" s="8"/>
      <c r="CO636" s="8"/>
      <c r="CP636" s="8"/>
      <c r="CQ636" s="8"/>
      <c r="CR636" s="8"/>
      <c r="CS636" s="8"/>
      <c r="CT636" s="8"/>
      <c r="CU636" s="8"/>
      <c r="CV636" s="8"/>
      <c r="CW636" s="8"/>
      <c r="CX636" s="8"/>
      <c r="CY636" s="8"/>
      <c r="CZ636" s="8"/>
      <c r="DA636" s="8"/>
      <c r="DB636" s="8"/>
      <c r="DC636" s="8"/>
      <c r="DD636" s="8"/>
      <c r="DE636" s="8"/>
      <c r="DF636" s="8"/>
      <c r="DG636" s="8"/>
      <c r="DH636" s="8"/>
      <c r="DI636" s="8"/>
      <c r="DJ636" s="8"/>
      <c r="DK636" s="8"/>
      <c r="DL636" s="8"/>
      <c r="DM636" s="8"/>
      <c r="DN636" s="8"/>
      <c r="DO636" s="8"/>
      <c r="DP636" s="8"/>
      <c r="DQ636" s="8"/>
      <c r="DR636" s="8"/>
      <c r="DS636" s="8"/>
      <c r="DT636" s="8"/>
      <c r="DU636" s="8"/>
      <c r="DV636" s="8"/>
      <c r="DW636" s="8"/>
      <c r="DX636" s="8"/>
      <c r="DY636" s="8"/>
      <c r="DZ636" s="8"/>
      <c r="EA636" s="8"/>
      <c r="EB636" s="8"/>
      <c r="EC636" s="8"/>
      <c r="ED636" s="8"/>
      <c r="EE636" s="8"/>
      <c r="EF636" s="8"/>
      <c r="EG636" s="8"/>
      <c r="EH636" s="8"/>
      <c r="EI636" s="8"/>
      <c r="EJ636" s="8"/>
      <c r="EK636" s="8"/>
      <c r="EL636" s="8"/>
      <c r="EM636" s="8"/>
      <c r="EN636" s="8"/>
      <c r="EO636" s="8"/>
      <c r="EP636" s="8"/>
      <c r="EQ636" s="8"/>
      <c r="ER636" s="8"/>
      <c r="ES636" s="8"/>
      <c r="ET636" s="8"/>
      <c r="EU636" s="8"/>
      <c r="EV636" s="8"/>
      <c r="EW636" s="8"/>
      <c r="EX636" s="8"/>
      <c r="EY636" s="8"/>
      <c r="EZ636" s="8"/>
      <c r="FA636" s="8"/>
      <c r="FB636" s="8"/>
      <c r="FC636" s="8"/>
      <c r="FD636" s="8"/>
      <c r="FE636" s="8"/>
      <c r="FF636" s="8"/>
      <c r="FG636" s="8"/>
      <c r="FH636" s="8"/>
      <c r="FI636" s="8"/>
      <c r="FJ636" s="8"/>
      <c r="FK636" s="8"/>
      <c r="FL636" s="8"/>
      <c r="FM636" s="8"/>
      <c r="FN636" s="8"/>
      <c r="FO636" s="8"/>
      <c r="FP636" s="8"/>
      <c r="FQ636" s="8"/>
      <c r="FR636" s="8"/>
      <c r="FS636" s="8"/>
      <c r="FT636" s="8"/>
      <c r="FU636" s="8"/>
      <c r="FV636" s="8"/>
      <c r="FW636" s="8"/>
      <c r="FX636" s="8"/>
      <c r="FY636" s="8"/>
      <c r="FZ636" s="8"/>
      <c r="GA636" s="8"/>
      <c r="GB636" s="8"/>
      <c r="GC636" s="8"/>
      <c r="GD636" s="8"/>
      <c r="GE636" s="8"/>
      <c r="GF636" s="8"/>
      <c r="GG636" s="8"/>
      <c r="GH636" s="8"/>
      <c r="GI636" s="8"/>
      <c r="GJ636" s="8"/>
      <c r="GK636" s="8"/>
      <c r="GL636" s="8"/>
      <c r="GM636" s="8"/>
      <c r="GN636" s="8"/>
      <c r="GO636" s="8"/>
      <c r="GP636" s="8"/>
      <c r="GQ636" s="8"/>
      <c r="GR636" s="8"/>
      <c r="GS636" s="8"/>
      <c r="GT636" s="8"/>
      <c r="GU636" s="8"/>
      <c r="GV636" s="8"/>
      <c r="GW636" s="8"/>
      <c r="GX636" s="8"/>
      <c r="GY636" s="8"/>
      <c r="GZ636" s="8"/>
      <c r="HA636" s="8"/>
      <c r="HB636" s="8"/>
      <c r="HC636" s="8"/>
      <c r="HD636" s="8"/>
      <c r="HE636" s="8"/>
      <c r="HF636" s="8"/>
      <c r="HG636" s="8"/>
      <c r="HH636" s="8"/>
      <c r="HI636" s="8"/>
      <c r="HJ636" s="8"/>
      <c r="HK636" s="8"/>
      <c r="HL636" s="8"/>
      <c r="HM636" s="8"/>
      <c r="HN636" s="8"/>
      <c r="HO636" s="8"/>
      <c r="HP636" s="8"/>
      <c r="HQ636" s="8"/>
      <c r="HR636" s="8"/>
      <c r="HS636" s="8"/>
      <c r="HT636" s="8"/>
      <c r="HU636" s="8"/>
      <c r="HV636" s="8"/>
      <c r="HW636" s="8"/>
      <c r="HX636" s="8"/>
      <c r="HY636" s="8"/>
      <c r="HZ636" s="8"/>
      <c r="IA636" s="8"/>
      <c r="IB636" s="8"/>
      <c r="IC636" s="8"/>
      <c r="ID636" s="8"/>
    </row>
    <row r="637" spans="5:23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c r="CB637" s="8"/>
      <c r="CC637" s="8"/>
      <c r="CD637" s="8"/>
      <c r="CE637" s="8"/>
      <c r="CF637" s="8"/>
      <c r="CG637" s="8"/>
      <c r="CH637" s="8"/>
      <c r="CI637" s="8"/>
      <c r="CJ637" s="8"/>
      <c r="CK637" s="8"/>
      <c r="CL637" s="8"/>
      <c r="CM637" s="8"/>
      <c r="CN637" s="8"/>
      <c r="CO637" s="8"/>
      <c r="CP637" s="8"/>
      <c r="CQ637" s="8"/>
      <c r="CR637" s="8"/>
      <c r="CS637" s="8"/>
      <c r="CT637" s="8"/>
      <c r="CU637" s="8"/>
      <c r="CV637" s="8"/>
      <c r="CW637" s="8"/>
      <c r="CX637" s="8"/>
      <c r="CY637" s="8"/>
      <c r="CZ637" s="8"/>
      <c r="DA637" s="8"/>
      <c r="DB637" s="8"/>
      <c r="DC637" s="8"/>
      <c r="DD637" s="8"/>
      <c r="DE637" s="8"/>
      <c r="DF637" s="8"/>
      <c r="DG637" s="8"/>
      <c r="DH637" s="8"/>
      <c r="DI637" s="8"/>
      <c r="DJ637" s="8"/>
      <c r="DK637" s="8"/>
      <c r="DL637" s="8"/>
      <c r="DM637" s="8"/>
      <c r="DN637" s="8"/>
      <c r="DO637" s="8"/>
      <c r="DP637" s="8"/>
      <c r="DQ637" s="8"/>
      <c r="DR637" s="8"/>
      <c r="DS637" s="8"/>
      <c r="DT637" s="8"/>
      <c r="DU637" s="8"/>
      <c r="DV637" s="8"/>
      <c r="DW637" s="8"/>
      <c r="DX637" s="8"/>
      <c r="DY637" s="8"/>
      <c r="DZ637" s="8"/>
      <c r="EA637" s="8"/>
      <c r="EB637" s="8"/>
      <c r="EC637" s="8"/>
      <c r="ED637" s="8"/>
      <c r="EE637" s="8"/>
      <c r="EF637" s="8"/>
      <c r="EG637" s="8"/>
      <c r="EH637" s="8"/>
      <c r="EI637" s="8"/>
      <c r="EJ637" s="8"/>
      <c r="EK637" s="8"/>
      <c r="EL637" s="8"/>
      <c r="EM637" s="8"/>
      <c r="EN637" s="8"/>
      <c r="EO637" s="8"/>
      <c r="EP637" s="8"/>
      <c r="EQ637" s="8"/>
      <c r="ER637" s="8"/>
      <c r="ES637" s="8"/>
      <c r="ET637" s="8"/>
      <c r="EU637" s="8"/>
      <c r="EV637" s="8"/>
      <c r="EW637" s="8"/>
      <c r="EX637" s="8"/>
      <c r="EY637" s="8"/>
      <c r="EZ637" s="8"/>
      <c r="FA637" s="8"/>
      <c r="FB637" s="8"/>
      <c r="FC637" s="8"/>
      <c r="FD637" s="8"/>
      <c r="FE637" s="8"/>
      <c r="FF637" s="8"/>
      <c r="FG637" s="8"/>
      <c r="FH637" s="8"/>
      <c r="FI637" s="8"/>
      <c r="FJ637" s="8"/>
      <c r="FK637" s="8"/>
      <c r="FL637" s="8"/>
      <c r="FM637" s="8"/>
      <c r="FN637" s="8"/>
      <c r="FO637" s="8"/>
      <c r="FP637" s="8"/>
      <c r="FQ637" s="8"/>
      <c r="FR637" s="8"/>
      <c r="FS637" s="8"/>
      <c r="FT637" s="8"/>
      <c r="FU637" s="8"/>
      <c r="FV637" s="8"/>
      <c r="FW637" s="8"/>
      <c r="FX637" s="8"/>
      <c r="FY637" s="8"/>
      <c r="FZ637" s="8"/>
      <c r="GA637" s="8"/>
      <c r="GB637" s="8"/>
      <c r="GC637" s="8"/>
      <c r="GD637" s="8"/>
      <c r="GE637" s="8"/>
      <c r="GF637" s="8"/>
      <c r="GG637" s="8"/>
      <c r="GH637" s="8"/>
      <c r="GI637" s="8"/>
      <c r="GJ637" s="8"/>
      <c r="GK637" s="8"/>
      <c r="GL637" s="8"/>
      <c r="GM637" s="8"/>
      <c r="GN637" s="8"/>
      <c r="GO637" s="8"/>
      <c r="GP637" s="8"/>
      <c r="GQ637" s="8"/>
      <c r="GR637" s="8"/>
      <c r="GS637" s="8"/>
      <c r="GT637" s="8"/>
      <c r="GU637" s="8"/>
      <c r="GV637" s="8"/>
      <c r="GW637" s="8"/>
      <c r="GX637" s="8"/>
      <c r="GY637" s="8"/>
      <c r="GZ637" s="8"/>
      <c r="HA637" s="8"/>
      <c r="HB637" s="8"/>
      <c r="HC637" s="8"/>
      <c r="HD637" s="8"/>
      <c r="HE637" s="8"/>
      <c r="HF637" s="8"/>
      <c r="HG637" s="8"/>
      <c r="HH637" s="8"/>
      <c r="HI637" s="8"/>
      <c r="HJ637" s="8"/>
      <c r="HK637" s="8"/>
      <c r="HL637" s="8"/>
      <c r="HM637" s="8"/>
      <c r="HN637" s="8"/>
      <c r="HO637" s="8"/>
      <c r="HP637" s="8"/>
      <c r="HQ637" s="8"/>
      <c r="HR637" s="8"/>
      <c r="HS637" s="8"/>
      <c r="HT637" s="8"/>
      <c r="HU637" s="8"/>
      <c r="HV637" s="8"/>
      <c r="HW637" s="8"/>
      <c r="HX637" s="8"/>
      <c r="HY637" s="8"/>
      <c r="HZ637" s="8"/>
      <c r="IA637" s="8"/>
      <c r="IB637" s="8"/>
      <c r="IC637" s="8"/>
      <c r="ID637" s="8"/>
    </row>
    <row r="638" spans="5:23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c r="CB638" s="8"/>
      <c r="CC638" s="8"/>
      <c r="CD638" s="8"/>
      <c r="CE638" s="8"/>
      <c r="CF638" s="8"/>
      <c r="CG638" s="8"/>
      <c r="CH638" s="8"/>
      <c r="CI638" s="8"/>
      <c r="CJ638" s="8"/>
      <c r="CK638" s="8"/>
      <c r="CL638" s="8"/>
      <c r="CM638" s="8"/>
      <c r="CN638" s="8"/>
      <c r="CO638" s="8"/>
      <c r="CP638" s="8"/>
      <c r="CQ638" s="8"/>
      <c r="CR638" s="8"/>
      <c r="CS638" s="8"/>
      <c r="CT638" s="8"/>
      <c r="CU638" s="8"/>
      <c r="CV638" s="8"/>
      <c r="CW638" s="8"/>
      <c r="CX638" s="8"/>
      <c r="CY638" s="8"/>
      <c r="CZ638" s="8"/>
      <c r="DA638" s="8"/>
      <c r="DB638" s="8"/>
      <c r="DC638" s="8"/>
      <c r="DD638" s="8"/>
      <c r="DE638" s="8"/>
      <c r="DF638" s="8"/>
      <c r="DG638" s="8"/>
      <c r="DH638" s="8"/>
      <c r="DI638" s="8"/>
      <c r="DJ638" s="8"/>
      <c r="DK638" s="8"/>
      <c r="DL638" s="8"/>
      <c r="DM638" s="8"/>
      <c r="DN638" s="8"/>
      <c r="DO638" s="8"/>
      <c r="DP638" s="8"/>
      <c r="DQ638" s="8"/>
      <c r="DR638" s="8"/>
      <c r="DS638" s="8"/>
      <c r="DT638" s="8"/>
      <c r="DU638" s="8"/>
      <c r="DV638" s="8"/>
      <c r="DW638" s="8"/>
      <c r="DX638" s="8"/>
      <c r="DY638" s="8"/>
      <c r="DZ638" s="8"/>
      <c r="EA638" s="8"/>
      <c r="EB638" s="8"/>
      <c r="EC638" s="8"/>
      <c r="ED638" s="8"/>
      <c r="EE638" s="8"/>
      <c r="EF638" s="8"/>
      <c r="EG638" s="8"/>
      <c r="EH638" s="8"/>
      <c r="EI638" s="8"/>
      <c r="EJ638" s="8"/>
      <c r="EK638" s="8"/>
      <c r="EL638" s="8"/>
      <c r="EM638" s="8"/>
      <c r="EN638" s="8"/>
      <c r="EO638" s="8"/>
      <c r="EP638" s="8"/>
      <c r="EQ638" s="8"/>
      <c r="ER638" s="8"/>
      <c r="ES638" s="8"/>
      <c r="ET638" s="8"/>
      <c r="EU638" s="8"/>
      <c r="EV638" s="8"/>
      <c r="EW638" s="8"/>
      <c r="EX638" s="8"/>
      <c r="EY638" s="8"/>
      <c r="EZ638" s="8"/>
      <c r="FA638" s="8"/>
      <c r="FB638" s="8"/>
      <c r="FC638" s="8"/>
      <c r="FD638" s="8"/>
      <c r="FE638" s="8"/>
      <c r="FF638" s="8"/>
      <c r="FG638" s="8"/>
      <c r="FH638" s="8"/>
      <c r="FI638" s="8"/>
      <c r="FJ638" s="8"/>
      <c r="FK638" s="8"/>
      <c r="FL638" s="8"/>
      <c r="FM638" s="8"/>
      <c r="FN638" s="8"/>
      <c r="FO638" s="8"/>
      <c r="FP638" s="8"/>
      <c r="FQ638" s="8"/>
      <c r="FR638" s="8"/>
      <c r="FS638" s="8"/>
      <c r="FT638" s="8"/>
      <c r="FU638" s="8"/>
      <c r="FV638" s="8"/>
      <c r="FW638" s="8"/>
      <c r="FX638" s="8"/>
      <c r="FY638" s="8"/>
      <c r="FZ638" s="8"/>
      <c r="GA638" s="8"/>
      <c r="GB638" s="8"/>
      <c r="GC638" s="8"/>
      <c r="GD638" s="8"/>
      <c r="GE638" s="8"/>
      <c r="GF638" s="8"/>
      <c r="GG638" s="8"/>
      <c r="GH638" s="8"/>
      <c r="GI638" s="8"/>
      <c r="GJ638" s="8"/>
      <c r="GK638" s="8"/>
      <c r="GL638" s="8"/>
      <c r="GM638" s="8"/>
      <c r="GN638" s="8"/>
      <c r="GO638" s="8"/>
      <c r="GP638" s="8"/>
      <c r="GQ638" s="8"/>
      <c r="GR638" s="8"/>
      <c r="GS638" s="8"/>
      <c r="GT638" s="8"/>
      <c r="GU638" s="8"/>
      <c r="GV638" s="8"/>
      <c r="GW638" s="8"/>
      <c r="GX638" s="8"/>
      <c r="GY638" s="8"/>
      <c r="GZ638" s="8"/>
      <c r="HA638" s="8"/>
      <c r="HB638" s="8"/>
      <c r="HC638" s="8"/>
      <c r="HD638" s="8"/>
      <c r="HE638" s="8"/>
      <c r="HF638" s="8"/>
      <c r="HG638" s="8"/>
      <c r="HH638" s="8"/>
      <c r="HI638" s="8"/>
      <c r="HJ638" s="8"/>
      <c r="HK638" s="8"/>
      <c r="HL638" s="8"/>
      <c r="HM638" s="8"/>
      <c r="HN638" s="8"/>
      <c r="HO638" s="8"/>
      <c r="HP638" s="8"/>
      <c r="HQ638" s="8"/>
      <c r="HR638" s="8"/>
      <c r="HS638" s="8"/>
      <c r="HT638" s="8"/>
      <c r="HU638" s="8"/>
      <c r="HV638" s="8"/>
      <c r="HW638" s="8"/>
      <c r="HX638" s="8"/>
      <c r="HY638" s="8"/>
      <c r="HZ638" s="8"/>
      <c r="IA638" s="8"/>
      <c r="IB638" s="8"/>
      <c r="IC638" s="8"/>
      <c r="ID638" s="8"/>
    </row>
    <row r="639" spans="5:23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c r="CB639" s="8"/>
      <c r="CC639" s="8"/>
      <c r="CD639" s="8"/>
      <c r="CE639" s="8"/>
      <c r="CF639" s="8"/>
      <c r="CG639" s="8"/>
      <c r="CH639" s="8"/>
      <c r="CI639" s="8"/>
      <c r="CJ639" s="8"/>
      <c r="CK639" s="8"/>
      <c r="CL639" s="8"/>
      <c r="CM639" s="8"/>
      <c r="CN639" s="8"/>
      <c r="CO639" s="8"/>
      <c r="CP639" s="8"/>
      <c r="CQ639" s="8"/>
      <c r="CR639" s="8"/>
      <c r="CS639" s="8"/>
      <c r="CT639" s="8"/>
      <c r="CU639" s="8"/>
      <c r="CV639" s="8"/>
      <c r="CW639" s="8"/>
      <c r="CX639" s="8"/>
      <c r="CY639" s="8"/>
      <c r="CZ639" s="8"/>
      <c r="DA639" s="8"/>
      <c r="DB639" s="8"/>
      <c r="DC639" s="8"/>
      <c r="DD639" s="8"/>
      <c r="DE639" s="8"/>
      <c r="DF639" s="8"/>
      <c r="DG639" s="8"/>
      <c r="DH639" s="8"/>
      <c r="DI639" s="8"/>
      <c r="DJ639" s="8"/>
      <c r="DK639" s="8"/>
      <c r="DL639" s="8"/>
      <c r="DM639" s="8"/>
      <c r="DN639" s="8"/>
      <c r="DO639" s="8"/>
      <c r="DP639" s="8"/>
      <c r="DQ639" s="8"/>
      <c r="DR639" s="8"/>
      <c r="DS639" s="8"/>
      <c r="DT639" s="8"/>
      <c r="DU639" s="8"/>
      <c r="DV639" s="8"/>
      <c r="DW639" s="8"/>
      <c r="DX639" s="8"/>
      <c r="DY639" s="8"/>
      <c r="DZ639" s="8"/>
      <c r="EA639" s="8"/>
      <c r="EB639" s="8"/>
      <c r="EC639" s="8"/>
      <c r="ED639" s="8"/>
      <c r="EE639" s="8"/>
      <c r="EF639" s="8"/>
      <c r="EG639" s="8"/>
      <c r="EH639" s="8"/>
      <c r="EI639" s="8"/>
      <c r="EJ639" s="8"/>
      <c r="EK639" s="8"/>
      <c r="EL639" s="8"/>
      <c r="EM639" s="8"/>
      <c r="EN639" s="8"/>
      <c r="EO639" s="8"/>
      <c r="EP639" s="8"/>
      <c r="EQ639" s="8"/>
      <c r="ER639" s="8"/>
      <c r="ES639" s="8"/>
      <c r="ET639" s="8"/>
      <c r="EU639" s="8"/>
      <c r="EV639" s="8"/>
      <c r="EW639" s="8"/>
      <c r="EX639" s="8"/>
      <c r="EY639" s="8"/>
      <c r="EZ639" s="8"/>
      <c r="FA639" s="8"/>
      <c r="FB639" s="8"/>
      <c r="FC639" s="8"/>
      <c r="FD639" s="8"/>
      <c r="FE639" s="8"/>
      <c r="FF639" s="8"/>
      <c r="FG639" s="8"/>
      <c r="FH639" s="8"/>
      <c r="FI639" s="8"/>
      <c r="FJ639" s="8"/>
      <c r="FK639" s="8"/>
      <c r="FL639" s="8"/>
      <c r="FM639" s="8"/>
      <c r="FN639" s="8"/>
      <c r="FO639" s="8"/>
      <c r="FP639" s="8"/>
      <c r="FQ639" s="8"/>
      <c r="FR639" s="8"/>
      <c r="FS639" s="8"/>
      <c r="FT639" s="8"/>
      <c r="FU639" s="8"/>
      <c r="FV639" s="8"/>
      <c r="FW639" s="8"/>
      <c r="FX639" s="8"/>
      <c r="FY639" s="8"/>
      <c r="FZ639" s="8"/>
      <c r="GA639" s="8"/>
      <c r="GB639" s="8"/>
      <c r="GC639" s="8"/>
      <c r="GD639" s="8"/>
      <c r="GE639" s="8"/>
      <c r="GF639" s="8"/>
      <c r="GG639" s="8"/>
      <c r="GH639" s="8"/>
      <c r="GI639" s="8"/>
      <c r="GJ639" s="8"/>
      <c r="GK639" s="8"/>
      <c r="GL639" s="8"/>
      <c r="GM639" s="8"/>
      <c r="GN639" s="8"/>
      <c r="GO639" s="8"/>
      <c r="GP639" s="8"/>
      <c r="GQ639" s="8"/>
      <c r="GR639" s="8"/>
      <c r="GS639" s="8"/>
      <c r="GT639" s="8"/>
      <c r="GU639" s="8"/>
      <c r="GV639" s="8"/>
      <c r="GW639" s="8"/>
      <c r="GX639" s="8"/>
      <c r="GY639" s="8"/>
      <c r="GZ639" s="8"/>
      <c r="HA639" s="8"/>
      <c r="HB639" s="8"/>
      <c r="HC639" s="8"/>
      <c r="HD639" s="8"/>
      <c r="HE639" s="8"/>
      <c r="HF639" s="8"/>
      <c r="HG639" s="8"/>
      <c r="HH639" s="8"/>
      <c r="HI639" s="8"/>
      <c r="HJ639" s="8"/>
      <c r="HK639" s="8"/>
      <c r="HL639" s="8"/>
      <c r="HM639" s="8"/>
      <c r="HN639" s="8"/>
      <c r="HO639" s="8"/>
      <c r="HP639" s="8"/>
      <c r="HQ639" s="8"/>
      <c r="HR639" s="8"/>
      <c r="HS639" s="8"/>
      <c r="HT639" s="8"/>
      <c r="HU639" s="8"/>
      <c r="HV639" s="8"/>
      <c r="HW639" s="8"/>
      <c r="HX639" s="8"/>
      <c r="HY639" s="8"/>
      <c r="HZ639" s="8"/>
      <c r="IA639" s="8"/>
      <c r="IB639" s="8"/>
      <c r="IC639" s="8"/>
      <c r="ID639" s="8"/>
    </row>
    <row r="640" spans="5:23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c r="CB640" s="8"/>
      <c r="CC640" s="8"/>
      <c r="CD640" s="8"/>
      <c r="CE640" s="8"/>
      <c r="CF640" s="8"/>
      <c r="CG640" s="8"/>
      <c r="CH640" s="8"/>
      <c r="CI640" s="8"/>
      <c r="CJ640" s="8"/>
      <c r="CK640" s="8"/>
      <c r="CL640" s="8"/>
      <c r="CM640" s="8"/>
      <c r="CN640" s="8"/>
      <c r="CO640" s="8"/>
      <c r="CP640" s="8"/>
      <c r="CQ640" s="8"/>
      <c r="CR640" s="8"/>
      <c r="CS640" s="8"/>
      <c r="CT640" s="8"/>
      <c r="CU640" s="8"/>
      <c r="CV640" s="8"/>
      <c r="CW640" s="8"/>
      <c r="CX640" s="8"/>
      <c r="CY640" s="8"/>
      <c r="CZ640" s="8"/>
      <c r="DA640" s="8"/>
      <c r="DB640" s="8"/>
      <c r="DC640" s="8"/>
      <c r="DD640" s="8"/>
      <c r="DE640" s="8"/>
      <c r="DF640" s="8"/>
      <c r="DG640" s="8"/>
      <c r="DH640" s="8"/>
      <c r="DI640" s="8"/>
      <c r="DJ640" s="8"/>
      <c r="DK640" s="8"/>
      <c r="DL640" s="8"/>
      <c r="DM640" s="8"/>
      <c r="DN640" s="8"/>
      <c r="DO640" s="8"/>
      <c r="DP640" s="8"/>
      <c r="DQ640" s="8"/>
      <c r="DR640" s="8"/>
      <c r="DS640" s="8"/>
      <c r="DT640" s="8"/>
      <c r="DU640" s="8"/>
      <c r="DV640" s="8"/>
      <c r="DW640" s="8"/>
      <c r="DX640" s="8"/>
      <c r="DY640" s="8"/>
      <c r="DZ640" s="8"/>
      <c r="EA640" s="8"/>
      <c r="EB640" s="8"/>
      <c r="EC640" s="8"/>
      <c r="ED640" s="8"/>
      <c r="EE640" s="8"/>
      <c r="EF640" s="8"/>
      <c r="EG640" s="8"/>
      <c r="EH640" s="8"/>
      <c r="EI640" s="8"/>
      <c r="EJ640" s="8"/>
      <c r="EK640" s="8"/>
      <c r="EL640" s="8"/>
      <c r="EM640" s="8"/>
      <c r="EN640" s="8"/>
      <c r="EO640" s="8"/>
      <c r="EP640" s="8"/>
      <c r="EQ640" s="8"/>
      <c r="ER640" s="8"/>
      <c r="ES640" s="8"/>
      <c r="ET640" s="8"/>
      <c r="EU640" s="8"/>
      <c r="EV640" s="8"/>
      <c r="EW640" s="8"/>
      <c r="EX640" s="8"/>
      <c r="EY640" s="8"/>
      <c r="EZ640" s="8"/>
      <c r="FA640" s="8"/>
      <c r="FB640" s="8"/>
      <c r="FC640" s="8"/>
      <c r="FD640" s="8"/>
      <c r="FE640" s="8"/>
      <c r="FF640" s="8"/>
      <c r="FG640" s="8"/>
      <c r="FH640" s="8"/>
      <c r="FI640" s="8"/>
      <c r="FJ640" s="8"/>
      <c r="FK640" s="8"/>
      <c r="FL640" s="8"/>
      <c r="FM640" s="8"/>
      <c r="FN640" s="8"/>
      <c r="FO640" s="8"/>
      <c r="FP640" s="8"/>
      <c r="FQ640" s="8"/>
      <c r="FR640" s="8"/>
      <c r="FS640" s="8"/>
      <c r="FT640" s="8"/>
      <c r="FU640" s="8"/>
      <c r="FV640" s="8"/>
      <c r="FW640" s="8"/>
      <c r="FX640" s="8"/>
      <c r="FY640" s="8"/>
      <c r="FZ640" s="8"/>
      <c r="GA640" s="8"/>
      <c r="GB640" s="8"/>
      <c r="GC640" s="8"/>
      <c r="GD640" s="8"/>
      <c r="GE640" s="8"/>
      <c r="GF640" s="8"/>
      <c r="GG640" s="8"/>
      <c r="GH640" s="8"/>
      <c r="GI640" s="8"/>
      <c r="GJ640" s="8"/>
      <c r="GK640" s="8"/>
      <c r="GL640" s="8"/>
      <c r="GM640" s="8"/>
      <c r="GN640" s="8"/>
      <c r="GO640" s="8"/>
      <c r="GP640" s="8"/>
      <c r="GQ640" s="8"/>
      <c r="GR640" s="8"/>
      <c r="GS640" s="8"/>
      <c r="GT640" s="8"/>
      <c r="GU640" s="8"/>
      <c r="GV640" s="8"/>
      <c r="GW640" s="8"/>
      <c r="GX640" s="8"/>
      <c r="GY640" s="8"/>
      <c r="GZ640" s="8"/>
      <c r="HA640" s="8"/>
      <c r="HB640" s="8"/>
      <c r="HC640" s="8"/>
      <c r="HD640" s="8"/>
      <c r="HE640" s="8"/>
      <c r="HF640" s="8"/>
      <c r="HG640" s="8"/>
      <c r="HH640" s="8"/>
      <c r="HI640" s="8"/>
      <c r="HJ640" s="8"/>
      <c r="HK640" s="8"/>
      <c r="HL640" s="8"/>
      <c r="HM640" s="8"/>
      <c r="HN640" s="8"/>
      <c r="HO640" s="8"/>
      <c r="HP640" s="8"/>
      <c r="HQ640" s="8"/>
      <c r="HR640" s="8"/>
      <c r="HS640" s="8"/>
      <c r="HT640" s="8"/>
      <c r="HU640" s="8"/>
      <c r="HV640" s="8"/>
      <c r="HW640" s="8"/>
      <c r="HX640" s="8"/>
      <c r="HY640" s="8"/>
      <c r="HZ640" s="8"/>
      <c r="IA640" s="8"/>
      <c r="IB640" s="8"/>
      <c r="IC640" s="8"/>
      <c r="ID640" s="8"/>
    </row>
    <row r="641" spans="5:23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8"/>
      <c r="CG641" s="8"/>
      <c r="CH641" s="8"/>
      <c r="CI641" s="8"/>
      <c r="CJ641" s="8"/>
      <c r="CK641" s="8"/>
      <c r="CL641" s="8"/>
      <c r="CM641" s="8"/>
      <c r="CN641" s="8"/>
      <c r="CO641" s="8"/>
      <c r="CP641" s="8"/>
      <c r="CQ641" s="8"/>
      <c r="CR641" s="8"/>
      <c r="CS641" s="8"/>
      <c r="CT641" s="8"/>
      <c r="CU641" s="8"/>
      <c r="CV641" s="8"/>
      <c r="CW641" s="8"/>
      <c r="CX641" s="8"/>
      <c r="CY641" s="8"/>
      <c r="CZ641" s="8"/>
      <c r="DA641" s="8"/>
      <c r="DB641" s="8"/>
      <c r="DC641" s="8"/>
      <c r="DD641" s="8"/>
      <c r="DE641" s="8"/>
      <c r="DF641" s="8"/>
      <c r="DG641" s="8"/>
      <c r="DH641" s="8"/>
      <c r="DI641" s="8"/>
      <c r="DJ641" s="8"/>
      <c r="DK641" s="8"/>
      <c r="DL641" s="8"/>
      <c r="DM641" s="8"/>
      <c r="DN641" s="8"/>
      <c r="DO641" s="8"/>
      <c r="DP641" s="8"/>
      <c r="DQ641" s="8"/>
      <c r="DR641" s="8"/>
      <c r="DS641" s="8"/>
      <c r="DT641" s="8"/>
      <c r="DU641" s="8"/>
      <c r="DV641" s="8"/>
      <c r="DW641" s="8"/>
      <c r="DX641" s="8"/>
      <c r="DY641" s="8"/>
      <c r="DZ641" s="8"/>
      <c r="EA641" s="8"/>
      <c r="EB641" s="8"/>
      <c r="EC641" s="8"/>
      <c r="ED641" s="8"/>
      <c r="EE641" s="8"/>
      <c r="EF641" s="8"/>
      <c r="EG641" s="8"/>
      <c r="EH641" s="8"/>
      <c r="EI641" s="8"/>
      <c r="EJ641" s="8"/>
      <c r="EK641" s="8"/>
      <c r="EL641" s="8"/>
      <c r="EM641" s="8"/>
      <c r="EN641" s="8"/>
      <c r="EO641" s="8"/>
      <c r="EP641" s="8"/>
      <c r="EQ641" s="8"/>
      <c r="ER641" s="8"/>
      <c r="ES641" s="8"/>
      <c r="ET641" s="8"/>
      <c r="EU641" s="8"/>
      <c r="EV641" s="8"/>
      <c r="EW641" s="8"/>
      <c r="EX641" s="8"/>
      <c r="EY641" s="8"/>
      <c r="EZ641" s="8"/>
      <c r="FA641" s="8"/>
      <c r="FB641" s="8"/>
      <c r="FC641" s="8"/>
      <c r="FD641" s="8"/>
      <c r="FE641" s="8"/>
      <c r="FF641" s="8"/>
      <c r="FG641" s="8"/>
      <c r="FH641" s="8"/>
      <c r="FI641" s="8"/>
      <c r="FJ641" s="8"/>
      <c r="FK641" s="8"/>
      <c r="FL641" s="8"/>
      <c r="FM641" s="8"/>
      <c r="FN641" s="8"/>
      <c r="FO641" s="8"/>
      <c r="FP641" s="8"/>
      <c r="FQ641" s="8"/>
      <c r="FR641" s="8"/>
      <c r="FS641" s="8"/>
      <c r="FT641" s="8"/>
      <c r="FU641" s="8"/>
      <c r="FV641" s="8"/>
      <c r="FW641" s="8"/>
      <c r="FX641" s="8"/>
      <c r="FY641" s="8"/>
      <c r="FZ641" s="8"/>
      <c r="GA641" s="8"/>
      <c r="GB641" s="8"/>
      <c r="GC641" s="8"/>
      <c r="GD641" s="8"/>
      <c r="GE641" s="8"/>
      <c r="GF641" s="8"/>
      <c r="GG641" s="8"/>
      <c r="GH641" s="8"/>
      <c r="GI641" s="8"/>
      <c r="GJ641" s="8"/>
      <c r="GK641" s="8"/>
      <c r="GL641" s="8"/>
      <c r="GM641" s="8"/>
      <c r="GN641" s="8"/>
      <c r="GO641" s="8"/>
      <c r="GP641" s="8"/>
      <c r="GQ641" s="8"/>
      <c r="GR641" s="8"/>
      <c r="GS641" s="8"/>
      <c r="GT641" s="8"/>
      <c r="GU641" s="8"/>
      <c r="GV641" s="8"/>
      <c r="GW641" s="8"/>
      <c r="GX641" s="8"/>
      <c r="GY641" s="8"/>
      <c r="GZ641" s="8"/>
      <c r="HA641" s="8"/>
      <c r="HB641" s="8"/>
      <c r="HC641" s="8"/>
      <c r="HD641" s="8"/>
      <c r="HE641" s="8"/>
      <c r="HF641" s="8"/>
      <c r="HG641" s="8"/>
      <c r="HH641" s="8"/>
      <c r="HI641" s="8"/>
      <c r="HJ641" s="8"/>
      <c r="HK641" s="8"/>
      <c r="HL641" s="8"/>
      <c r="HM641" s="8"/>
      <c r="HN641" s="8"/>
      <c r="HO641" s="8"/>
      <c r="HP641" s="8"/>
      <c r="HQ641" s="8"/>
      <c r="HR641" s="8"/>
      <c r="HS641" s="8"/>
      <c r="HT641" s="8"/>
      <c r="HU641" s="8"/>
      <c r="HV641" s="8"/>
      <c r="HW641" s="8"/>
      <c r="HX641" s="8"/>
      <c r="HY641" s="8"/>
      <c r="HZ641" s="8"/>
      <c r="IA641" s="8"/>
      <c r="IB641" s="8"/>
      <c r="IC641" s="8"/>
      <c r="ID641" s="8"/>
    </row>
    <row r="642" spans="5:23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c r="CB642" s="8"/>
      <c r="CC642" s="8"/>
      <c r="CD642" s="8"/>
      <c r="CE642" s="8"/>
      <c r="CF642" s="8"/>
      <c r="CG642" s="8"/>
      <c r="CH642" s="8"/>
      <c r="CI642" s="8"/>
      <c r="CJ642" s="8"/>
      <c r="CK642" s="8"/>
      <c r="CL642" s="8"/>
      <c r="CM642" s="8"/>
      <c r="CN642" s="8"/>
      <c r="CO642" s="8"/>
      <c r="CP642" s="8"/>
      <c r="CQ642" s="8"/>
      <c r="CR642" s="8"/>
      <c r="CS642" s="8"/>
      <c r="CT642" s="8"/>
      <c r="CU642" s="8"/>
      <c r="CV642" s="8"/>
      <c r="CW642" s="8"/>
      <c r="CX642" s="8"/>
      <c r="CY642" s="8"/>
      <c r="CZ642" s="8"/>
      <c r="DA642" s="8"/>
      <c r="DB642" s="8"/>
      <c r="DC642" s="8"/>
      <c r="DD642" s="8"/>
      <c r="DE642" s="8"/>
      <c r="DF642" s="8"/>
      <c r="DG642" s="8"/>
      <c r="DH642" s="8"/>
      <c r="DI642" s="8"/>
      <c r="DJ642" s="8"/>
      <c r="DK642" s="8"/>
      <c r="DL642" s="8"/>
      <c r="DM642" s="8"/>
      <c r="DN642" s="8"/>
      <c r="DO642" s="8"/>
      <c r="DP642" s="8"/>
      <c r="DQ642" s="8"/>
      <c r="DR642" s="8"/>
      <c r="DS642" s="8"/>
      <c r="DT642" s="8"/>
      <c r="DU642" s="8"/>
      <c r="DV642" s="8"/>
      <c r="DW642" s="8"/>
      <c r="DX642" s="8"/>
      <c r="DY642" s="8"/>
      <c r="DZ642" s="8"/>
      <c r="EA642" s="8"/>
      <c r="EB642" s="8"/>
      <c r="EC642" s="8"/>
      <c r="ED642" s="8"/>
      <c r="EE642" s="8"/>
      <c r="EF642" s="8"/>
      <c r="EG642" s="8"/>
      <c r="EH642" s="8"/>
      <c r="EI642" s="8"/>
      <c r="EJ642" s="8"/>
      <c r="EK642" s="8"/>
      <c r="EL642" s="8"/>
      <c r="EM642" s="8"/>
      <c r="EN642" s="8"/>
      <c r="EO642" s="8"/>
      <c r="EP642" s="8"/>
      <c r="EQ642" s="8"/>
      <c r="ER642" s="8"/>
      <c r="ES642" s="8"/>
      <c r="ET642" s="8"/>
      <c r="EU642" s="8"/>
      <c r="EV642" s="8"/>
      <c r="EW642" s="8"/>
      <c r="EX642" s="8"/>
      <c r="EY642" s="8"/>
      <c r="EZ642" s="8"/>
      <c r="FA642" s="8"/>
      <c r="FB642" s="8"/>
      <c r="FC642" s="8"/>
      <c r="FD642" s="8"/>
      <c r="FE642" s="8"/>
      <c r="FF642" s="8"/>
      <c r="FG642" s="8"/>
      <c r="FH642" s="8"/>
      <c r="FI642" s="8"/>
      <c r="FJ642" s="8"/>
      <c r="FK642" s="8"/>
      <c r="FL642" s="8"/>
      <c r="FM642" s="8"/>
      <c r="FN642" s="8"/>
      <c r="FO642" s="8"/>
      <c r="FP642" s="8"/>
      <c r="FQ642" s="8"/>
      <c r="FR642" s="8"/>
      <c r="FS642" s="8"/>
      <c r="FT642" s="8"/>
      <c r="FU642" s="8"/>
      <c r="FV642" s="8"/>
      <c r="FW642" s="8"/>
      <c r="FX642" s="8"/>
      <c r="FY642" s="8"/>
      <c r="FZ642" s="8"/>
      <c r="GA642" s="8"/>
      <c r="GB642" s="8"/>
      <c r="GC642" s="8"/>
      <c r="GD642" s="8"/>
      <c r="GE642" s="8"/>
      <c r="GF642" s="8"/>
      <c r="GG642" s="8"/>
      <c r="GH642" s="8"/>
      <c r="GI642" s="8"/>
      <c r="GJ642" s="8"/>
      <c r="GK642" s="8"/>
      <c r="GL642" s="8"/>
      <c r="GM642" s="8"/>
      <c r="GN642" s="8"/>
      <c r="GO642" s="8"/>
      <c r="GP642" s="8"/>
      <c r="GQ642" s="8"/>
      <c r="GR642" s="8"/>
      <c r="GS642" s="8"/>
      <c r="GT642" s="8"/>
      <c r="GU642" s="8"/>
      <c r="GV642" s="8"/>
      <c r="GW642" s="8"/>
      <c r="GX642" s="8"/>
      <c r="GY642" s="8"/>
      <c r="GZ642" s="8"/>
      <c r="HA642" s="8"/>
      <c r="HB642" s="8"/>
      <c r="HC642" s="8"/>
      <c r="HD642" s="8"/>
      <c r="HE642" s="8"/>
      <c r="HF642" s="8"/>
      <c r="HG642" s="8"/>
      <c r="HH642" s="8"/>
      <c r="HI642" s="8"/>
      <c r="HJ642" s="8"/>
      <c r="HK642" s="8"/>
      <c r="HL642" s="8"/>
      <c r="HM642" s="8"/>
      <c r="HN642" s="8"/>
      <c r="HO642" s="8"/>
      <c r="HP642" s="8"/>
      <c r="HQ642" s="8"/>
      <c r="HR642" s="8"/>
      <c r="HS642" s="8"/>
      <c r="HT642" s="8"/>
      <c r="HU642" s="8"/>
      <c r="HV642" s="8"/>
      <c r="HW642" s="8"/>
      <c r="HX642" s="8"/>
      <c r="HY642" s="8"/>
      <c r="HZ642" s="8"/>
      <c r="IA642" s="8"/>
      <c r="IB642" s="8"/>
      <c r="IC642" s="8"/>
      <c r="ID642" s="8"/>
    </row>
    <row r="643" spans="5:23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c r="CB643" s="8"/>
      <c r="CC643" s="8"/>
      <c r="CD643" s="8"/>
      <c r="CE643" s="8"/>
      <c r="CF643" s="8"/>
      <c r="CG643" s="8"/>
      <c r="CH643" s="8"/>
      <c r="CI643" s="8"/>
      <c r="CJ643" s="8"/>
      <c r="CK643" s="8"/>
      <c r="CL643" s="8"/>
      <c r="CM643" s="8"/>
      <c r="CN643" s="8"/>
      <c r="CO643" s="8"/>
      <c r="CP643" s="8"/>
      <c r="CQ643" s="8"/>
      <c r="CR643" s="8"/>
      <c r="CS643" s="8"/>
      <c r="CT643" s="8"/>
      <c r="CU643" s="8"/>
      <c r="CV643" s="8"/>
      <c r="CW643" s="8"/>
      <c r="CX643" s="8"/>
      <c r="CY643" s="8"/>
      <c r="CZ643" s="8"/>
      <c r="DA643" s="8"/>
      <c r="DB643" s="8"/>
      <c r="DC643" s="8"/>
      <c r="DD643" s="8"/>
      <c r="DE643" s="8"/>
      <c r="DF643" s="8"/>
      <c r="DG643" s="8"/>
      <c r="DH643" s="8"/>
      <c r="DI643" s="8"/>
      <c r="DJ643" s="8"/>
      <c r="DK643" s="8"/>
      <c r="DL643" s="8"/>
      <c r="DM643" s="8"/>
      <c r="DN643" s="8"/>
      <c r="DO643" s="8"/>
      <c r="DP643" s="8"/>
      <c r="DQ643" s="8"/>
      <c r="DR643" s="8"/>
      <c r="DS643" s="8"/>
      <c r="DT643" s="8"/>
      <c r="DU643" s="8"/>
      <c r="DV643" s="8"/>
      <c r="DW643" s="8"/>
      <c r="DX643" s="8"/>
      <c r="DY643" s="8"/>
      <c r="DZ643" s="8"/>
      <c r="EA643" s="8"/>
      <c r="EB643" s="8"/>
      <c r="EC643" s="8"/>
      <c r="ED643" s="8"/>
      <c r="EE643" s="8"/>
      <c r="EF643" s="8"/>
      <c r="EG643" s="8"/>
      <c r="EH643" s="8"/>
      <c r="EI643" s="8"/>
      <c r="EJ643" s="8"/>
      <c r="EK643" s="8"/>
      <c r="EL643" s="8"/>
      <c r="EM643" s="8"/>
      <c r="EN643" s="8"/>
      <c r="EO643" s="8"/>
      <c r="EP643" s="8"/>
      <c r="EQ643" s="8"/>
      <c r="ER643" s="8"/>
      <c r="ES643" s="8"/>
      <c r="ET643" s="8"/>
      <c r="EU643" s="8"/>
      <c r="EV643" s="8"/>
      <c r="EW643" s="8"/>
      <c r="EX643" s="8"/>
      <c r="EY643" s="8"/>
      <c r="EZ643" s="8"/>
      <c r="FA643" s="8"/>
      <c r="FB643" s="8"/>
      <c r="FC643" s="8"/>
      <c r="FD643" s="8"/>
      <c r="FE643" s="8"/>
      <c r="FF643" s="8"/>
      <c r="FG643" s="8"/>
      <c r="FH643" s="8"/>
      <c r="FI643" s="8"/>
      <c r="FJ643" s="8"/>
      <c r="FK643" s="8"/>
      <c r="FL643" s="8"/>
      <c r="FM643" s="8"/>
      <c r="FN643" s="8"/>
      <c r="FO643" s="8"/>
      <c r="FP643" s="8"/>
      <c r="FQ643" s="8"/>
      <c r="FR643" s="8"/>
      <c r="FS643" s="8"/>
      <c r="FT643" s="8"/>
      <c r="FU643" s="8"/>
      <c r="FV643" s="8"/>
      <c r="FW643" s="8"/>
      <c r="FX643" s="8"/>
      <c r="FY643" s="8"/>
      <c r="FZ643" s="8"/>
      <c r="GA643" s="8"/>
      <c r="GB643" s="8"/>
      <c r="GC643" s="8"/>
      <c r="GD643" s="8"/>
      <c r="GE643" s="8"/>
      <c r="GF643" s="8"/>
      <c r="GG643" s="8"/>
      <c r="GH643" s="8"/>
      <c r="GI643" s="8"/>
      <c r="GJ643" s="8"/>
      <c r="GK643" s="8"/>
      <c r="GL643" s="8"/>
      <c r="GM643" s="8"/>
      <c r="GN643" s="8"/>
      <c r="GO643" s="8"/>
      <c r="GP643" s="8"/>
      <c r="GQ643" s="8"/>
      <c r="GR643" s="8"/>
      <c r="GS643" s="8"/>
      <c r="GT643" s="8"/>
      <c r="GU643" s="8"/>
      <c r="GV643" s="8"/>
      <c r="GW643" s="8"/>
      <c r="GX643" s="8"/>
      <c r="GY643" s="8"/>
      <c r="GZ643" s="8"/>
      <c r="HA643" s="8"/>
      <c r="HB643" s="8"/>
      <c r="HC643" s="8"/>
      <c r="HD643" s="8"/>
      <c r="HE643" s="8"/>
      <c r="HF643" s="8"/>
      <c r="HG643" s="8"/>
      <c r="HH643" s="8"/>
      <c r="HI643" s="8"/>
      <c r="HJ643" s="8"/>
      <c r="HK643" s="8"/>
      <c r="HL643" s="8"/>
      <c r="HM643" s="8"/>
      <c r="HN643" s="8"/>
      <c r="HO643" s="8"/>
      <c r="HP643" s="8"/>
      <c r="HQ643" s="8"/>
      <c r="HR643" s="8"/>
      <c r="HS643" s="8"/>
      <c r="HT643" s="8"/>
      <c r="HU643" s="8"/>
      <c r="HV643" s="8"/>
      <c r="HW643" s="8"/>
      <c r="HX643" s="8"/>
      <c r="HY643" s="8"/>
      <c r="HZ643" s="8"/>
      <c r="IA643" s="8"/>
      <c r="IB643" s="8"/>
      <c r="IC643" s="8"/>
      <c r="ID643" s="8"/>
    </row>
    <row r="644" spans="5:23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c r="CB644" s="8"/>
      <c r="CC644" s="8"/>
      <c r="CD644" s="8"/>
      <c r="CE644" s="8"/>
      <c r="CF644" s="8"/>
      <c r="CG644" s="8"/>
      <c r="CH644" s="8"/>
      <c r="CI644" s="8"/>
      <c r="CJ644" s="8"/>
      <c r="CK644" s="8"/>
      <c r="CL644" s="8"/>
      <c r="CM644" s="8"/>
      <c r="CN644" s="8"/>
      <c r="CO644" s="8"/>
      <c r="CP644" s="8"/>
      <c r="CQ644" s="8"/>
      <c r="CR644" s="8"/>
      <c r="CS644" s="8"/>
      <c r="CT644" s="8"/>
      <c r="CU644" s="8"/>
      <c r="CV644" s="8"/>
      <c r="CW644" s="8"/>
      <c r="CX644" s="8"/>
      <c r="CY644" s="8"/>
      <c r="CZ644" s="8"/>
      <c r="DA644" s="8"/>
      <c r="DB644" s="8"/>
      <c r="DC644" s="8"/>
      <c r="DD644" s="8"/>
      <c r="DE644" s="8"/>
      <c r="DF644" s="8"/>
      <c r="DG644" s="8"/>
      <c r="DH644" s="8"/>
      <c r="DI644" s="8"/>
      <c r="DJ644" s="8"/>
      <c r="DK644" s="8"/>
      <c r="DL644" s="8"/>
      <c r="DM644" s="8"/>
      <c r="DN644" s="8"/>
      <c r="DO644" s="8"/>
      <c r="DP644" s="8"/>
      <c r="DQ644" s="8"/>
      <c r="DR644" s="8"/>
      <c r="DS644" s="8"/>
      <c r="DT644" s="8"/>
      <c r="DU644" s="8"/>
      <c r="DV644" s="8"/>
      <c r="DW644" s="8"/>
      <c r="DX644" s="8"/>
      <c r="DY644" s="8"/>
      <c r="DZ644" s="8"/>
      <c r="EA644" s="8"/>
      <c r="EB644" s="8"/>
      <c r="EC644" s="8"/>
      <c r="ED644" s="8"/>
      <c r="EE644" s="8"/>
      <c r="EF644" s="8"/>
      <c r="EG644" s="8"/>
      <c r="EH644" s="8"/>
      <c r="EI644" s="8"/>
      <c r="EJ644" s="8"/>
      <c r="EK644" s="8"/>
      <c r="EL644" s="8"/>
      <c r="EM644" s="8"/>
      <c r="EN644" s="8"/>
      <c r="EO644" s="8"/>
      <c r="EP644" s="8"/>
      <c r="EQ644" s="8"/>
      <c r="ER644" s="8"/>
      <c r="ES644" s="8"/>
      <c r="ET644" s="8"/>
      <c r="EU644" s="8"/>
      <c r="EV644" s="8"/>
      <c r="EW644" s="8"/>
      <c r="EX644" s="8"/>
      <c r="EY644" s="8"/>
      <c r="EZ644" s="8"/>
      <c r="FA644" s="8"/>
      <c r="FB644" s="8"/>
      <c r="FC644" s="8"/>
      <c r="FD644" s="8"/>
      <c r="FE644" s="8"/>
      <c r="FF644" s="8"/>
      <c r="FG644" s="8"/>
      <c r="FH644" s="8"/>
      <c r="FI644" s="8"/>
      <c r="FJ644" s="8"/>
      <c r="FK644" s="8"/>
      <c r="FL644" s="8"/>
      <c r="FM644" s="8"/>
      <c r="FN644" s="8"/>
      <c r="FO644" s="8"/>
      <c r="FP644" s="8"/>
      <c r="FQ644" s="8"/>
      <c r="FR644" s="8"/>
      <c r="FS644" s="8"/>
      <c r="FT644" s="8"/>
      <c r="FU644" s="8"/>
      <c r="FV644" s="8"/>
      <c r="FW644" s="8"/>
      <c r="FX644" s="8"/>
      <c r="FY644" s="8"/>
      <c r="FZ644" s="8"/>
      <c r="GA644" s="8"/>
      <c r="GB644" s="8"/>
      <c r="GC644" s="8"/>
      <c r="GD644" s="8"/>
      <c r="GE644" s="8"/>
      <c r="GF644" s="8"/>
      <c r="GG644" s="8"/>
      <c r="GH644" s="8"/>
      <c r="GI644" s="8"/>
      <c r="GJ644" s="8"/>
      <c r="GK644" s="8"/>
      <c r="GL644" s="8"/>
      <c r="GM644" s="8"/>
      <c r="GN644" s="8"/>
      <c r="GO644" s="8"/>
      <c r="GP644" s="8"/>
      <c r="GQ644" s="8"/>
      <c r="GR644" s="8"/>
      <c r="GS644" s="8"/>
      <c r="GT644" s="8"/>
      <c r="GU644" s="8"/>
      <c r="GV644" s="8"/>
      <c r="GW644" s="8"/>
      <c r="GX644" s="8"/>
      <c r="GY644" s="8"/>
      <c r="GZ644" s="8"/>
      <c r="HA644" s="8"/>
      <c r="HB644" s="8"/>
      <c r="HC644" s="8"/>
      <c r="HD644" s="8"/>
      <c r="HE644" s="8"/>
      <c r="HF644" s="8"/>
      <c r="HG644" s="8"/>
      <c r="HH644" s="8"/>
      <c r="HI644" s="8"/>
      <c r="HJ644" s="8"/>
      <c r="HK644" s="8"/>
      <c r="HL644" s="8"/>
      <c r="HM644" s="8"/>
      <c r="HN644" s="8"/>
      <c r="HO644" s="8"/>
      <c r="HP644" s="8"/>
      <c r="HQ644" s="8"/>
      <c r="HR644" s="8"/>
      <c r="HS644" s="8"/>
      <c r="HT644" s="8"/>
      <c r="HU644" s="8"/>
      <c r="HV644" s="8"/>
      <c r="HW644" s="8"/>
      <c r="HX644" s="8"/>
      <c r="HY644" s="8"/>
      <c r="HZ644" s="8"/>
      <c r="IA644" s="8"/>
      <c r="IB644" s="8"/>
      <c r="IC644" s="8"/>
      <c r="ID644" s="8"/>
    </row>
    <row r="645" spans="5:23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c r="CB645" s="8"/>
      <c r="CC645" s="8"/>
      <c r="CD645" s="8"/>
      <c r="CE645" s="8"/>
      <c r="CF645" s="8"/>
      <c r="CG645" s="8"/>
      <c r="CH645" s="8"/>
      <c r="CI645" s="8"/>
      <c r="CJ645" s="8"/>
      <c r="CK645" s="8"/>
      <c r="CL645" s="8"/>
      <c r="CM645" s="8"/>
      <c r="CN645" s="8"/>
      <c r="CO645" s="8"/>
      <c r="CP645" s="8"/>
      <c r="CQ645" s="8"/>
      <c r="CR645" s="8"/>
      <c r="CS645" s="8"/>
      <c r="CT645" s="8"/>
      <c r="CU645" s="8"/>
      <c r="CV645" s="8"/>
      <c r="CW645" s="8"/>
      <c r="CX645" s="8"/>
      <c r="CY645" s="8"/>
      <c r="CZ645" s="8"/>
      <c r="DA645" s="8"/>
      <c r="DB645" s="8"/>
      <c r="DC645" s="8"/>
      <c r="DD645" s="8"/>
      <c r="DE645" s="8"/>
      <c r="DF645" s="8"/>
      <c r="DG645" s="8"/>
      <c r="DH645" s="8"/>
      <c r="DI645" s="8"/>
      <c r="DJ645" s="8"/>
      <c r="DK645" s="8"/>
      <c r="DL645" s="8"/>
      <c r="DM645" s="8"/>
      <c r="DN645" s="8"/>
      <c r="DO645" s="8"/>
      <c r="DP645" s="8"/>
      <c r="DQ645" s="8"/>
      <c r="DR645" s="8"/>
      <c r="DS645" s="8"/>
      <c r="DT645" s="8"/>
      <c r="DU645" s="8"/>
      <c r="DV645" s="8"/>
      <c r="DW645" s="8"/>
      <c r="DX645" s="8"/>
      <c r="DY645" s="8"/>
      <c r="DZ645" s="8"/>
      <c r="EA645" s="8"/>
      <c r="EB645" s="8"/>
      <c r="EC645" s="8"/>
      <c r="ED645" s="8"/>
      <c r="EE645" s="8"/>
      <c r="EF645" s="8"/>
      <c r="EG645" s="8"/>
      <c r="EH645" s="8"/>
      <c r="EI645" s="8"/>
      <c r="EJ645" s="8"/>
      <c r="EK645" s="8"/>
      <c r="EL645" s="8"/>
      <c r="EM645" s="8"/>
      <c r="EN645" s="8"/>
      <c r="EO645" s="8"/>
      <c r="EP645" s="8"/>
      <c r="EQ645" s="8"/>
      <c r="ER645" s="8"/>
      <c r="ES645" s="8"/>
      <c r="ET645" s="8"/>
      <c r="EU645" s="8"/>
      <c r="EV645" s="8"/>
      <c r="EW645" s="8"/>
      <c r="EX645" s="8"/>
      <c r="EY645" s="8"/>
      <c r="EZ645" s="8"/>
      <c r="FA645" s="8"/>
      <c r="FB645" s="8"/>
      <c r="FC645" s="8"/>
      <c r="FD645" s="8"/>
      <c r="FE645" s="8"/>
      <c r="FF645" s="8"/>
      <c r="FG645" s="8"/>
      <c r="FH645" s="8"/>
      <c r="FI645" s="8"/>
      <c r="FJ645" s="8"/>
      <c r="FK645" s="8"/>
      <c r="FL645" s="8"/>
      <c r="FM645" s="8"/>
      <c r="FN645" s="8"/>
      <c r="FO645" s="8"/>
      <c r="FP645" s="8"/>
      <c r="FQ645" s="8"/>
      <c r="FR645" s="8"/>
      <c r="FS645" s="8"/>
      <c r="FT645" s="8"/>
      <c r="FU645" s="8"/>
      <c r="FV645" s="8"/>
      <c r="FW645" s="8"/>
      <c r="FX645" s="8"/>
      <c r="FY645" s="8"/>
      <c r="FZ645" s="8"/>
      <c r="GA645" s="8"/>
      <c r="GB645" s="8"/>
      <c r="GC645" s="8"/>
      <c r="GD645" s="8"/>
      <c r="GE645" s="8"/>
      <c r="GF645" s="8"/>
      <c r="GG645" s="8"/>
      <c r="GH645" s="8"/>
      <c r="GI645" s="8"/>
      <c r="GJ645" s="8"/>
      <c r="GK645" s="8"/>
      <c r="GL645" s="8"/>
      <c r="GM645" s="8"/>
      <c r="GN645" s="8"/>
      <c r="GO645" s="8"/>
      <c r="GP645" s="8"/>
      <c r="GQ645" s="8"/>
      <c r="GR645" s="8"/>
      <c r="GS645" s="8"/>
      <c r="GT645" s="8"/>
      <c r="GU645" s="8"/>
      <c r="GV645" s="8"/>
      <c r="GW645" s="8"/>
      <c r="GX645" s="8"/>
      <c r="GY645" s="8"/>
      <c r="GZ645" s="8"/>
      <c r="HA645" s="8"/>
      <c r="HB645" s="8"/>
      <c r="HC645" s="8"/>
      <c r="HD645" s="8"/>
      <c r="HE645" s="8"/>
      <c r="HF645" s="8"/>
      <c r="HG645" s="8"/>
      <c r="HH645" s="8"/>
      <c r="HI645" s="8"/>
      <c r="HJ645" s="8"/>
      <c r="HK645" s="8"/>
      <c r="HL645" s="8"/>
      <c r="HM645" s="8"/>
      <c r="HN645" s="8"/>
      <c r="HO645" s="8"/>
      <c r="HP645" s="8"/>
      <c r="HQ645" s="8"/>
      <c r="HR645" s="8"/>
      <c r="HS645" s="8"/>
      <c r="HT645" s="8"/>
      <c r="HU645" s="8"/>
      <c r="HV645" s="8"/>
      <c r="HW645" s="8"/>
      <c r="HX645" s="8"/>
      <c r="HY645" s="8"/>
      <c r="HZ645" s="8"/>
      <c r="IA645" s="8"/>
      <c r="IB645" s="8"/>
      <c r="IC645" s="8"/>
      <c r="ID645" s="8"/>
    </row>
    <row r="646" spans="5:23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c r="CB646" s="8"/>
      <c r="CC646" s="8"/>
      <c r="CD646" s="8"/>
      <c r="CE646" s="8"/>
      <c r="CF646" s="8"/>
      <c r="CG646" s="8"/>
      <c r="CH646" s="8"/>
      <c r="CI646" s="8"/>
      <c r="CJ646" s="8"/>
      <c r="CK646" s="8"/>
      <c r="CL646" s="8"/>
      <c r="CM646" s="8"/>
      <c r="CN646" s="8"/>
      <c r="CO646" s="8"/>
      <c r="CP646" s="8"/>
      <c r="CQ646" s="8"/>
      <c r="CR646" s="8"/>
      <c r="CS646" s="8"/>
      <c r="CT646" s="8"/>
      <c r="CU646" s="8"/>
      <c r="CV646" s="8"/>
      <c r="CW646" s="8"/>
      <c r="CX646" s="8"/>
      <c r="CY646" s="8"/>
      <c r="CZ646" s="8"/>
      <c r="DA646" s="8"/>
      <c r="DB646" s="8"/>
      <c r="DC646" s="8"/>
      <c r="DD646" s="8"/>
      <c r="DE646" s="8"/>
      <c r="DF646" s="8"/>
      <c r="DG646" s="8"/>
      <c r="DH646" s="8"/>
      <c r="DI646" s="8"/>
      <c r="DJ646" s="8"/>
      <c r="DK646" s="8"/>
      <c r="DL646" s="8"/>
      <c r="DM646" s="8"/>
      <c r="DN646" s="8"/>
      <c r="DO646" s="8"/>
      <c r="DP646" s="8"/>
      <c r="DQ646" s="8"/>
      <c r="DR646" s="8"/>
      <c r="DS646" s="8"/>
      <c r="DT646" s="8"/>
      <c r="DU646" s="8"/>
      <c r="DV646" s="8"/>
      <c r="DW646" s="8"/>
      <c r="DX646" s="8"/>
      <c r="DY646" s="8"/>
      <c r="DZ646" s="8"/>
      <c r="EA646" s="8"/>
      <c r="EB646" s="8"/>
      <c r="EC646" s="8"/>
      <c r="ED646" s="8"/>
      <c r="EE646" s="8"/>
      <c r="EF646" s="8"/>
      <c r="EG646" s="8"/>
      <c r="EH646" s="8"/>
      <c r="EI646" s="8"/>
      <c r="EJ646" s="8"/>
      <c r="EK646" s="8"/>
      <c r="EL646" s="8"/>
      <c r="EM646" s="8"/>
      <c r="EN646" s="8"/>
      <c r="EO646" s="8"/>
      <c r="EP646" s="8"/>
      <c r="EQ646" s="8"/>
      <c r="ER646" s="8"/>
      <c r="ES646" s="8"/>
      <c r="ET646" s="8"/>
      <c r="EU646" s="8"/>
      <c r="EV646" s="8"/>
      <c r="EW646" s="8"/>
      <c r="EX646" s="8"/>
      <c r="EY646" s="8"/>
      <c r="EZ646" s="8"/>
      <c r="FA646" s="8"/>
      <c r="FB646" s="8"/>
      <c r="FC646" s="8"/>
      <c r="FD646" s="8"/>
      <c r="FE646" s="8"/>
      <c r="FF646" s="8"/>
      <c r="FG646" s="8"/>
      <c r="FH646" s="8"/>
      <c r="FI646" s="8"/>
      <c r="FJ646" s="8"/>
      <c r="FK646" s="8"/>
      <c r="FL646" s="8"/>
      <c r="FM646" s="8"/>
      <c r="FN646" s="8"/>
      <c r="FO646" s="8"/>
      <c r="FP646" s="8"/>
      <c r="FQ646" s="8"/>
      <c r="FR646" s="8"/>
      <c r="FS646" s="8"/>
      <c r="FT646" s="8"/>
      <c r="FU646" s="8"/>
      <c r="FV646" s="8"/>
      <c r="FW646" s="8"/>
      <c r="FX646" s="8"/>
      <c r="FY646" s="8"/>
      <c r="FZ646" s="8"/>
      <c r="GA646" s="8"/>
      <c r="GB646" s="8"/>
      <c r="GC646" s="8"/>
      <c r="GD646" s="8"/>
      <c r="GE646" s="8"/>
      <c r="GF646" s="8"/>
      <c r="GG646" s="8"/>
      <c r="GH646" s="8"/>
      <c r="GI646" s="8"/>
      <c r="GJ646" s="8"/>
      <c r="GK646" s="8"/>
      <c r="GL646" s="8"/>
      <c r="GM646" s="8"/>
      <c r="GN646" s="8"/>
      <c r="GO646" s="8"/>
      <c r="GP646" s="8"/>
      <c r="GQ646" s="8"/>
      <c r="GR646" s="8"/>
      <c r="GS646" s="8"/>
      <c r="GT646" s="8"/>
      <c r="GU646" s="8"/>
      <c r="GV646" s="8"/>
      <c r="GW646" s="8"/>
      <c r="GX646" s="8"/>
      <c r="GY646" s="8"/>
      <c r="GZ646" s="8"/>
      <c r="HA646" s="8"/>
      <c r="HB646" s="8"/>
      <c r="HC646" s="8"/>
      <c r="HD646" s="8"/>
      <c r="HE646" s="8"/>
      <c r="HF646" s="8"/>
      <c r="HG646" s="8"/>
      <c r="HH646" s="8"/>
      <c r="HI646" s="8"/>
      <c r="HJ646" s="8"/>
      <c r="HK646" s="8"/>
      <c r="HL646" s="8"/>
      <c r="HM646" s="8"/>
      <c r="HN646" s="8"/>
      <c r="HO646" s="8"/>
      <c r="HP646" s="8"/>
      <c r="HQ646" s="8"/>
      <c r="HR646" s="8"/>
      <c r="HS646" s="8"/>
      <c r="HT646" s="8"/>
      <c r="HU646" s="8"/>
      <c r="HV646" s="8"/>
      <c r="HW646" s="8"/>
      <c r="HX646" s="8"/>
      <c r="HY646" s="8"/>
      <c r="HZ646" s="8"/>
      <c r="IA646" s="8"/>
      <c r="IB646" s="8"/>
      <c r="IC646" s="8"/>
      <c r="ID646" s="8"/>
    </row>
    <row r="647" spans="5:23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c r="CB647" s="8"/>
      <c r="CC647" s="8"/>
      <c r="CD647" s="8"/>
      <c r="CE647" s="8"/>
      <c r="CF647" s="8"/>
      <c r="CG647" s="8"/>
      <c r="CH647" s="8"/>
      <c r="CI647" s="8"/>
      <c r="CJ647" s="8"/>
      <c r="CK647" s="8"/>
      <c r="CL647" s="8"/>
      <c r="CM647" s="8"/>
      <c r="CN647" s="8"/>
      <c r="CO647" s="8"/>
      <c r="CP647" s="8"/>
      <c r="CQ647" s="8"/>
      <c r="CR647" s="8"/>
      <c r="CS647" s="8"/>
      <c r="CT647" s="8"/>
      <c r="CU647" s="8"/>
      <c r="CV647" s="8"/>
      <c r="CW647" s="8"/>
      <c r="CX647" s="8"/>
      <c r="CY647" s="8"/>
      <c r="CZ647" s="8"/>
      <c r="DA647" s="8"/>
      <c r="DB647" s="8"/>
      <c r="DC647" s="8"/>
      <c r="DD647" s="8"/>
      <c r="DE647" s="8"/>
      <c r="DF647" s="8"/>
      <c r="DG647" s="8"/>
      <c r="DH647" s="8"/>
      <c r="DI647" s="8"/>
      <c r="DJ647" s="8"/>
      <c r="DK647" s="8"/>
      <c r="DL647" s="8"/>
      <c r="DM647" s="8"/>
      <c r="DN647" s="8"/>
      <c r="DO647" s="8"/>
      <c r="DP647" s="8"/>
      <c r="DQ647" s="8"/>
      <c r="DR647" s="8"/>
      <c r="DS647" s="8"/>
      <c r="DT647" s="8"/>
      <c r="DU647" s="8"/>
      <c r="DV647" s="8"/>
      <c r="DW647" s="8"/>
      <c r="DX647" s="8"/>
      <c r="DY647" s="8"/>
      <c r="DZ647" s="8"/>
      <c r="EA647" s="8"/>
      <c r="EB647" s="8"/>
      <c r="EC647" s="8"/>
      <c r="ED647" s="8"/>
      <c r="EE647" s="8"/>
      <c r="EF647" s="8"/>
      <c r="EG647" s="8"/>
      <c r="EH647" s="8"/>
      <c r="EI647" s="8"/>
      <c r="EJ647" s="8"/>
      <c r="EK647" s="8"/>
      <c r="EL647" s="8"/>
      <c r="EM647" s="8"/>
      <c r="EN647" s="8"/>
      <c r="EO647" s="8"/>
      <c r="EP647" s="8"/>
      <c r="EQ647" s="8"/>
      <c r="ER647" s="8"/>
      <c r="ES647" s="8"/>
      <c r="ET647" s="8"/>
      <c r="EU647" s="8"/>
      <c r="EV647" s="8"/>
      <c r="EW647" s="8"/>
      <c r="EX647" s="8"/>
      <c r="EY647" s="8"/>
      <c r="EZ647" s="8"/>
      <c r="FA647" s="8"/>
      <c r="FB647" s="8"/>
      <c r="FC647" s="8"/>
      <c r="FD647" s="8"/>
      <c r="FE647" s="8"/>
      <c r="FF647" s="8"/>
      <c r="FG647" s="8"/>
      <c r="FH647" s="8"/>
      <c r="FI647" s="8"/>
      <c r="FJ647" s="8"/>
      <c r="FK647" s="8"/>
      <c r="FL647" s="8"/>
      <c r="FM647" s="8"/>
      <c r="FN647" s="8"/>
      <c r="FO647" s="8"/>
      <c r="FP647" s="8"/>
      <c r="FQ647" s="8"/>
      <c r="FR647" s="8"/>
      <c r="FS647" s="8"/>
      <c r="FT647" s="8"/>
      <c r="FU647" s="8"/>
      <c r="FV647" s="8"/>
      <c r="FW647" s="8"/>
      <c r="FX647" s="8"/>
      <c r="FY647" s="8"/>
      <c r="FZ647" s="8"/>
      <c r="GA647" s="8"/>
      <c r="GB647" s="8"/>
      <c r="GC647" s="8"/>
      <c r="GD647" s="8"/>
      <c r="GE647" s="8"/>
      <c r="GF647" s="8"/>
      <c r="GG647" s="8"/>
      <c r="GH647" s="8"/>
      <c r="GI647" s="8"/>
      <c r="GJ647" s="8"/>
      <c r="GK647" s="8"/>
      <c r="GL647" s="8"/>
      <c r="GM647" s="8"/>
      <c r="GN647" s="8"/>
      <c r="GO647" s="8"/>
      <c r="GP647" s="8"/>
      <c r="GQ647" s="8"/>
      <c r="GR647" s="8"/>
      <c r="GS647" s="8"/>
      <c r="GT647" s="8"/>
      <c r="GU647" s="8"/>
      <c r="GV647" s="8"/>
      <c r="GW647" s="8"/>
      <c r="GX647" s="8"/>
      <c r="GY647" s="8"/>
      <c r="GZ647" s="8"/>
      <c r="HA647" s="8"/>
      <c r="HB647" s="8"/>
      <c r="HC647" s="8"/>
      <c r="HD647" s="8"/>
      <c r="HE647" s="8"/>
      <c r="HF647" s="8"/>
      <c r="HG647" s="8"/>
      <c r="HH647" s="8"/>
      <c r="HI647" s="8"/>
      <c r="HJ647" s="8"/>
      <c r="HK647" s="8"/>
      <c r="HL647" s="8"/>
      <c r="HM647" s="8"/>
      <c r="HN647" s="8"/>
      <c r="HO647" s="8"/>
      <c r="HP647" s="8"/>
      <c r="HQ647" s="8"/>
      <c r="HR647" s="8"/>
      <c r="HS647" s="8"/>
      <c r="HT647" s="8"/>
      <c r="HU647" s="8"/>
      <c r="HV647" s="8"/>
      <c r="HW647" s="8"/>
      <c r="HX647" s="8"/>
      <c r="HY647" s="8"/>
      <c r="HZ647" s="8"/>
      <c r="IA647" s="8"/>
      <c r="IB647" s="8"/>
      <c r="IC647" s="8"/>
      <c r="ID647" s="8"/>
    </row>
    <row r="648" spans="5:23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c r="CB648" s="8"/>
      <c r="CC648" s="8"/>
      <c r="CD648" s="8"/>
      <c r="CE648" s="8"/>
      <c r="CF648" s="8"/>
      <c r="CG648" s="8"/>
      <c r="CH648" s="8"/>
      <c r="CI648" s="8"/>
      <c r="CJ648" s="8"/>
      <c r="CK648" s="8"/>
      <c r="CL648" s="8"/>
      <c r="CM648" s="8"/>
      <c r="CN648" s="8"/>
      <c r="CO648" s="8"/>
      <c r="CP648" s="8"/>
      <c r="CQ648" s="8"/>
      <c r="CR648" s="8"/>
      <c r="CS648" s="8"/>
      <c r="CT648" s="8"/>
      <c r="CU648" s="8"/>
      <c r="CV648" s="8"/>
      <c r="CW648" s="8"/>
      <c r="CX648" s="8"/>
      <c r="CY648" s="8"/>
      <c r="CZ648" s="8"/>
      <c r="DA648" s="8"/>
      <c r="DB648" s="8"/>
      <c r="DC648" s="8"/>
      <c r="DD648" s="8"/>
      <c r="DE648" s="8"/>
      <c r="DF648" s="8"/>
      <c r="DG648" s="8"/>
      <c r="DH648" s="8"/>
      <c r="DI648" s="8"/>
      <c r="DJ648" s="8"/>
      <c r="DK648" s="8"/>
      <c r="DL648" s="8"/>
      <c r="DM648" s="8"/>
      <c r="DN648" s="8"/>
      <c r="DO648" s="8"/>
      <c r="DP648" s="8"/>
      <c r="DQ648" s="8"/>
      <c r="DR648" s="8"/>
      <c r="DS648" s="8"/>
      <c r="DT648" s="8"/>
      <c r="DU648" s="8"/>
      <c r="DV648" s="8"/>
      <c r="DW648" s="8"/>
      <c r="DX648" s="8"/>
      <c r="DY648" s="8"/>
      <c r="DZ648" s="8"/>
      <c r="EA648" s="8"/>
      <c r="EB648" s="8"/>
      <c r="EC648" s="8"/>
      <c r="ED648" s="8"/>
      <c r="EE648" s="8"/>
      <c r="EF648" s="8"/>
      <c r="EG648" s="8"/>
      <c r="EH648" s="8"/>
      <c r="EI648" s="8"/>
      <c r="EJ648" s="8"/>
      <c r="EK648" s="8"/>
      <c r="EL648" s="8"/>
      <c r="EM648" s="8"/>
      <c r="EN648" s="8"/>
      <c r="EO648" s="8"/>
      <c r="EP648" s="8"/>
      <c r="EQ648" s="8"/>
      <c r="ER648" s="8"/>
      <c r="ES648" s="8"/>
      <c r="ET648" s="8"/>
      <c r="EU648" s="8"/>
      <c r="EV648" s="8"/>
      <c r="EW648" s="8"/>
      <c r="EX648" s="8"/>
      <c r="EY648" s="8"/>
      <c r="EZ648" s="8"/>
      <c r="FA648" s="8"/>
      <c r="FB648" s="8"/>
      <c r="FC648" s="8"/>
      <c r="FD648" s="8"/>
      <c r="FE648" s="8"/>
      <c r="FF648" s="8"/>
      <c r="FG648" s="8"/>
      <c r="FH648" s="8"/>
      <c r="FI648" s="8"/>
      <c r="FJ648" s="8"/>
      <c r="FK648" s="8"/>
      <c r="FL648" s="8"/>
      <c r="FM648" s="8"/>
      <c r="FN648" s="8"/>
      <c r="FO648" s="8"/>
      <c r="FP648" s="8"/>
      <c r="FQ648" s="8"/>
      <c r="FR648" s="8"/>
      <c r="FS648" s="8"/>
      <c r="FT648" s="8"/>
      <c r="FU648" s="8"/>
      <c r="FV648" s="8"/>
      <c r="FW648" s="8"/>
      <c r="FX648" s="8"/>
      <c r="FY648" s="8"/>
      <c r="FZ648" s="8"/>
      <c r="GA648" s="8"/>
      <c r="GB648" s="8"/>
      <c r="GC648" s="8"/>
      <c r="GD648" s="8"/>
      <c r="GE648" s="8"/>
      <c r="GF648" s="8"/>
      <c r="GG648" s="8"/>
      <c r="GH648" s="8"/>
      <c r="GI648" s="8"/>
      <c r="GJ648" s="8"/>
      <c r="GK648" s="8"/>
      <c r="GL648" s="8"/>
      <c r="GM648" s="8"/>
      <c r="GN648" s="8"/>
      <c r="GO648" s="8"/>
      <c r="GP648" s="8"/>
      <c r="GQ648" s="8"/>
      <c r="GR648" s="8"/>
      <c r="GS648" s="8"/>
      <c r="GT648" s="8"/>
      <c r="GU648" s="8"/>
      <c r="GV648" s="8"/>
      <c r="GW648" s="8"/>
      <c r="GX648" s="8"/>
      <c r="GY648" s="8"/>
      <c r="GZ648" s="8"/>
      <c r="HA648" s="8"/>
      <c r="HB648" s="8"/>
      <c r="HC648" s="8"/>
      <c r="HD648" s="8"/>
      <c r="HE648" s="8"/>
      <c r="HF648" s="8"/>
      <c r="HG648" s="8"/>
      <c r="HH648" s="8"/>
      <c r="HI648" s="8"/>
      <c r="HJ648" s="8"/>
      <c r="HK648" s="8"/>
      <c r="HL648" s="8"/>
      <c r="HM648" s="8"/>
      <c r="HN648" s="8"/>
      <c r="HO648" s="8"/>
      <c r="HP648" s="8"/>
      <c r="HQ648" s="8"/>
      <c r="HR648" s="8"/>
      <c r="HS648" s="8"/>
      <c r="HT648" s="8"/>
      <c r="HU648" s="8"/>
      <c r="HV648" s="8"/>
      <c r="HW648" s="8"/>
      <c r="HX648" s="8"/>
      <c r="HY648" s="8"/>
      <c r="HZ648" s="8"/>
      <c r="IA648" s="8"/>
      <c r="IB648" s="8"/>
      <c r="IC648" s="8"/>
      <c r="ID648" s="8"/>
    </row>
    <row r="649" spans="5:23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c r="CB649" s="8"/>
      <c r="CC649" s="8"/>
      <c r="CD649" s="8"/>
      <c r="CE649" s="8"/>
      <c r="CF649" s="8"/>
      <c r="CG649" s="8"/>
      <c r="CH649" s="8"/>
      <c r="CI649" s="8"/>
      <c r="CJ649" s="8"/>
      <c r="CK649" s="8"/>
      <c r="CL649" s="8"/>
      <c r="CM649" s="8"/>
      <c r="CN649" s="8"/>
      <c r="CO649" s="8"/>
      <c r="CP649" s="8"/>
      <c r="CQ649" s="8"/>
      <c r="CR649" s="8"/>
      <c r="CS649" s="8"/>
      <c r="CT649" s="8"/>
      <c r="CU649" s="8"/>
      <c r="CV649" s="8"/>
      <c r="CW649" s="8"/>
      <c r="CX649" s="8"/>
      <c r="CY649" s="8"/>
      <c r="CZ649" s="8"/>
      <c r="DA649" s="8"/>
      <c r="DB649" s="8"/>
      <c r="DC649" s="8"/>
      <c r="DD649" s="8"/>
      <c r="DE649" s="8"/>
      <c r="DF649" s="8"/>
      <c r="DG649" s="8"/>
      <c r="DH649" s="8"/>
      <c r="DI649" s="8"/>
      <c r="DJ649" s="8"/>
      <c r="DK649" s="8"/>
      <c r="DL649" s="8"/>
      <c r="DM649" s="8"/>
      <c r="DN649" s="8"/>
      <c r="DO649" s="8"/>
      <c r="DP649" s="8"/>
      <c r="DQ649" s="8"/>
      <c r="DR649" s="8"/>
      <c r="DS649" s="8"/>
      <c r="DT649" s="8"/>
      <c r="DU649" s="8"/>
      <c r="DV649" s="8"/>
      <c r="DW649" s="8"/>
      <c r="DX649" s="8"/>
      <c r="DY649" s="8"/>
      <c r="DZ649" s="8"/>
      <c r="EA649" s="8"/>
      <c r="EB649" s="8"/>
      <c r="EC649" s="8"/>
      <c r="ED649" s="8"/>
      <c r="EE649" s="8"/>
      <c r="EF649" s="8"/>
      <c r="EG649" s="8"/>
      <c r="EH649" s="8"/>
      <c r="EI649" s="8"/>
      <c r="EJ649" s="8"/>
      <c r="EK649" s="8"/>
      <c r="EL649" s="8"/>
      <c r="EM649" s="8"/>
      <c r="EN649" s="8"/>
      <c r="EO649" s="8"/>
      <c r="EP649" s="8"/>
      <c r="EQ649" s="8"/>
      <c r="ER649" s="8"/>
      <c r="ES649" s="8"/>
      <c r="ET649" s="8"/>
      <c r="EU649" s="8"/>
      <c r="EV649" s="8"/>
      <c r="EW649" s="8"/>
      <c r="EX649" s="8"/>
      <c r="EY649" s="8"/>
      <c r="EZ649" s="8"/>
      <c r="FA649" s="8"/>
      <c r="FB649" s="8"/>
      <c r="FC649" s="8"/>
      <c r="FD649" s="8"/>
      <c r="FE649" s="8"/>
      <c r="FF649" s="8"/>
      <c r="FG649" s="8"/>
      <c r="FH649" s="8"/>
      <c r="FI649" s="8"/>
      <c r="FJ649" s="8"/>
      <c r="FK649" s="8"/>
      <c r="FL649" s="8"/>
      <c r="FM649" s="8"/>
      <c r="FN649" s="8"/>
      <c r="FO649" s="8"/>
      <c r="FP649" s="8"/>
      <c r="FQ649" s="8"/>
      <c r="FR649" s="8"/>
      <c r="FS649" s="8"/>
      <c r="FT649" s="8"/>
      <c r="FU649" s="8"/>
      <c r="FV649" s="8"/>
      <c r="FW649" s="8"/>
      <c r="FX649" s="8"/>
      <c r="FY649" s="8"/>
      <c r="FZ649" s="8"/>
      <c r="GA649" s="8"/>
      <c r="GB649" s="8"/>
      <c r="GC649" s="8"/>
      <c r="GD649" s="8"/>
      <c r="GE649" s="8"/>
      <c r="GF649" s="8"/>
      <c r="GG649" s="8"/>
      <c r="GH649" s="8"/>
      <c r="GI649" s="8"/>
      <c r="GJ649" s="8"/>
      <c r="GK649" s="8"/>
      <c r="GL649" s="8"/>
      <c r="GM649" s="8"/>
      <c r="GN649" s="8"/>
      <c r="GO649" s="8"/>
      <c r="GP649" s="8"/>
      <c r="GQ649" s="8"/>
      <c r="GR649" s="8"/>
      <c r="GS649" s="8"/>
      <c r="GT649" s="8"/>
      <c r="GU649" s="8"/>
      <c r="GV649" s="8"/>
      <c r="GW649" s="8"/>
      <c r="GX649" s="8"/>
      <c r="GY649" s="8"/>
      <c r="GZ649" s="8"/>
      <c r="HA649" s="8"/>
      <c r="HB649" s="8"/>
      <c r="HC649" s="8"/>
      <c r="HD649" s="8"/>
      <c r="HE649" s="8"/>
      <c r="HF649" s="8"/>
      <c r="HG649" s="8"/>
      <c r="HH649" s="8"/>
      <c r="HI649" s="8"/>
      <c r="HJ649" s="8"/>
      <c r="HK649" s="8"/>
      <c r="HL649" s="8"/>
      <c r="HM649" s="8"/>
      <c r="HN649" s="8"/>
      <c r="HO649" s="8"/>
      <c r="HP649" s="8"/>
      <c r="HQ649" s="8"/>
      <c r="HR649" s="8"/>
      <c r="HS649" s="8"/>
      <c r="HT649" s="8"/>
      <c r="HU649" s="8"/>
      <c r="HV649" s="8"/>
      <c r="HW649" s="8"/>
      <c r="HX649" s="8"/>
      <c r="HY649" s="8"/>
      <c r="HZ649" s="8"/>
      <c r="IA649" s="8"/>
      <c r="IB649" s="8"/>
      <c r="IC649" s="8"/>
      <c r="ID649" s="8"/>
    </row>
    <row r="650" spans="5:23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c r="CB650" s="8"/>
      <c r="CC650" s="8"/>
      <c r="CD650" s="8"/>
      <c r="CE650" s="8"/>
      <c r="CF650" s="8"/>
      <c r="CG650" s="8"/>
      <c r="CH650" s="8"/>
      <c r="CI650" s="8"/>
      <c r="CJ650" s="8"/>
      <c r="CK650" s="8"/>
      <c r="CL650" s="8"/>
      <c r="CM650" s="8"/>
      <c r="CN650" s="8"/>
      <c r="CO650" s="8"/>
      <c r="CP650" s="8"/>
      <c r="CQ650" s="8"/>
      <c r="CR650" s="8"/>
      <c r="CS650" s="8"/>
      <c r="CT650" s="8"/>
      <c r="CU650" s="8"/>
      <c r="CV650" s="8"/>
      <c r="CW650" s="8"/>
      <c r="CX650" s="8"/>
      <c r="CY650" s="8"/>
      <c r="CZ650" s="8"/>
      <c r="DA650" s="8"/>
      <c r="DB650" s="8"/>
      <c r="DC650" s="8"/>
      <c r="DD650" s="8"/>
      <c r="DE650" s="8"/>
      <c r="DF650" s="8"/>
      <c r="DG650" s="8"/>
      <c r="DH650" s="8"/>
      <c r="DI650" s="8"/>
      <c r="DJ650" s="8"/>
      <c r="DK650" s="8"/>
      <c r="DL650" s="8"/>
      <c r="DM650" s="8"/>
      <c r="DN650" s="8"/>
      <c r="DO650" s="8"/>
      <c r="DP650" s="8"/>
      <c r="DQ650" s="8"/>
      <c r="DR650" s="8"/>
      <c r="DS650" s="8"/>
      <c r="DT650" s="8"/>
      <c r="DU650" s="8"/>
      <c r="DV650" s="8"/>
      <c r="DW650" s="8"/>
      <c r="DX650" s="8"/>
      <c r="DY650" s="8"/>
      <c r="DZ650" s="8"/>
      <c r="EA650" s="8"/>
      <c r="EB650" s="8"/>
      <c r="EC650" s="8"/>
      <c r="ED650" s="8"/>
      <c r="EE650" s="8"/>
      <c r="EF650" s="8"/>
      <c r="EG650" s="8"/>
      <c r="EH650" s="8"/>
      <c r="EI650" s="8"/>
      <c r="EJ650" s="8"/>
      <c r="EK650" s="8"/>
      <c r="EL650" s="8"/>
      <c r="EM650" s="8"/>
      <c r="EN650" s="8"/>
      <c r="EO650" s="8"/>
      <c r="EP650" s="8"/>
      <c r="EQ650" s="8"/>
      <c r="ER650" s="8"/>
      <c r="ES650" s="8"/>
      <c r="ET650" s="8"/>
      <c r="EU650" s="8"/>
      <c r="EV650" s="8"/>
      <c r="EW650" s="8"/>
      <c r="EX650" s="8"/>
      <c r="EY650" s="8"/>
      <c r="EZ650" s="8"/>
      <c r="FA650" s="8"/>
      <c r="FB650" s="8"/>
      <c r="FC650" s="8"/>
      <c r="FD650" s="8"/>
      <c r="FE650" s="8"/>
      <c r="FF650" s="8"/>
      <c r="FG650" s="8"/>
      <c r="FH650" s="8"/>
      <c r="FI650" s="8"/>
      <c r="FJ650" s="8"/>
      <c r="FK650" s="8"/>
      <c r="FL650" s="8"/>
      <c r="FM650" s="8"/>
      <c r="FN650" s="8"/>
      <c r="FO650" s="8"/>
      <c r="FP650" s="8"/>
      <c r="FQ650" s="8"/>
      <c r="FR650" s="8"/>
      <c r="FS650" s="8"/>
      <c r="FT650" s="8"/>
      <c r="FU650" s="8"/>
      <c r="FV650" s="8"/>
      <c r="FW650" s="8"/>
      <c r="FX650" s="8"/>
      <c r="FY650" s="8"/>
      <c r="FZ650" s="8"/>
      <c r="GA650" s="8"/>
      <c r="GB650" s="8"/>
      <c r="GC650" s="8"/>
      <c r="GD650" s="8"/>
      <c r="GE650" s="8"/>
      <c r="GF650" s="8"/>
      <c r="GG650" s="8"/>
      <c r="GH650" s="8"/>
      <c r="GI650" s="8"/>
      <c r="GJ650" s="8"/>
      <c r="GK650" s="8"/>
      <c r="GL650" s="8"/>
      <c r="GM650" s="8"/>
      <c r="GN650" s="8"/>
      <c r="GO650" s="8"/>
      <c r="GP650" s="8"/>
      <c r="GQ650" s="8"/>
      <c r="GR650" s="8"/>
      <c r="GS650" s="8"/>
      <c r="GT650" s="8"/>
      <c r="GU650" s="8"/>
      <c r="GV650" s="8"/>
      <c r="GW650" s="8"/>
      <c r="GX650" s="8"/>
      <c r="GY650" s="8"/>
      <c r="GZ650" s="8"/>
      <c r="HA650" s="8"/>
      <c r="HB650" s="8"/>
      <c r="HC650" s="8"/>
      <c r="HD650" s="8"/>
      <c r="HE650" s="8"/>
      <c r="HF650" s="8"/>
      <c r="HG650" s="8"/>
      <c r="HH650" s="8"/>
      <c r="HI650" s="8"/>
      <c r="HJ650" s="8"/>
      <c r="HK650" s="8"/>
      <c r="HL650" s="8"/>
      <c r="HM650" s="8"/>
      <c r="HN650" s="8"/>
      <c r="HO650" s="8"/>
      <c r="HP650" s="8"/>
      <c r="HQ650" s="8"/>
      <c r="HR650" s="8"/>
      <c r="HS650" s="8"/>
      <c r="HT650" s="8"/>
      <c r="HU650" s="8"/>
      <c r="HV650" s="8"/>
      <c r="HW650" s="8"/>
      <c r="HX650" s="8"/>
      <c r="HY650" s="8"/>
      <c r="HZ650" s="8"/>
      <c r="IA650" s="8"/>
      <c r="IB650" s="8"/>
      <c r="IC650" s="8"/>
      <c r="ID650" s="8"/>
    </row>
    <row r="651" spans="5:23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c r="CB651" s="8"/>
      <c r="CC651" s="8"/>
      <c r="CD651" s="8"/>
      <c r="CE651" s="8"/>
      <c r="CF651" s="8"/>
      <c r="CG651" s="8"/>
      <c r="CH651" s="8"/>
      <c r="CI651" s="8"/>
      <c r="CJ651" s="8"/>
      <c r="CK651" s="8"/>
      <c r="CL651" s="8"/>
      <c r="CM651" s="8"/>
      <c r="CN651" s="8"/>
      <c r="CO651" s="8"/>
      <c r="CP651" s="8"/>
      <c r="CQ651" s="8"/>
      <c r="CR651" s="8"/>
      <c r="CS651" s="8"/>
      <c r="CT651" s="8"/>
      <c r="CU651" s="8"/>
      <c r="CV651" s="8"/>
      <c r="CW651" s="8"/>
      <c r="CX651" s="8"/>
      <c r="CY651" s="8"/>
      <c r="CZ651" s="8"/>
      <c r="DA651" s="8"/>
      <c r="DB651" s="8"/>
      <c r="DC651" s="8"/>
      <c r="DD651" s="8"/>
      <c r="DE651" s="8"/>
      <c r="DF651" s="8"/>
      <c r="DG651" s="8"/>
      <c r="DH651" s="8"/>
      <c r="DI651" s="8"/>
      <c r="DJ651" s="8"/>
      <c r="DK651" s="8"/>
      <c r="DL651" s="8"/>
      <c r="DM651" s="8"/>
      <c r="DN651" s="8"/>
      <c r="DO651" s="8"/>
      <c r="DP651" s="8"/>
      <c r="DQ651" s="8"/>
      <c r="DR651" s="8"/>
      <c r="DS651" s="8"/>
      <c r="DT651" s="8"/>
      <c r="DU651" s="8"/>
      <c r="DV651" s="8"/>
      <c r="DW651" s="8"/>
      <c r="DX651" s="8"/>
      <c r="DY651" s="8"/>
      <c r="DZ651" s="8"/>
      <c r="EA651" s="8"/>
      <c r="EB651" s="8"/>
      <c r="EC651" s="8"/>
      <c r="ED651" s="8"/>
      <c r="EE651" s="8"/>
      <c r="EF651" s="8"/>
      <c r="EG651" s="8"/>
      <c r="EH651" s="8"/>
      <c r="EI651" s="8"/>
      <c r="EJ651" s="8"/>
      <c r="EK651" s="8"/>
      <c r="EL651" s="8"/>
      <c r="EM651" s="8"/>
      <c r="EN651" s="8"/>
      <c r="EO651" s="8"/>
      <c r="EP651" s="8"/>
      <c r="EQ651" s="8"/>
      <c r="ER651" s="8"/>
      <c r="ES651" s="8"/>
      <c r="ET651" s="8"/>
      <c r="EU651" s="8"/>
      <c r="EV651" s="8"/>
      <c r="EW651" s="8"/>
      <c r="EX651" s="8"/>
      <c r="EY651" s="8"/>
      <c r="EZ651" s="8"/>
      <c r="FA651" s="8"/>
      <c r="FB651" s="8"/>
      <c r="FC651" s="8"/>
      <c r="FD651" s="8"/>
      <c r="FE651" s="8"/>
      <c r="FF651" s="8"/>
      <c r="FG651" s="8"/>
      <c r="FH651" s="8"/>
      <c r="FI651" s="8"/>
      <c r="FJ651" s="8"/>
      <c r="FK651" s="8"/>
      <c r="FL651" s="8"/>
      <c r="FM651" s="8"/>
      <c r="FN651" s="8"/>
      <c r="FO651" s="8"/>
      <c r="FP651" s="8"/>
      <c r="FQ651" s="8"/>
      <c r="FR651" s="8"/>
      <c r="FS651" s="8"/>
      <c r="FT651" s="8"/>
      <c r="FU651" s="8"/>
      <c r="FV651" s="8"/>
      <c r="FW651" s="8"/>
      <c r="FX651" s="8"/>
      <c r="FY651" s="8"/>
      <c r="FZ651" s="8"/>
      <c r="GA651" s="8"/>
      <c r="GB651" s="8"/>
      <c r="GC651" s="8"/>
      <c r="GD651" s="8"/>
      <c r="GE651" s="8"/>
      <c r="GF651" s="8"/>
      <c r="GG651" s="8"/>
      <c r="GH651" s="8"/>
      <c r="GI651" s="8"/>
      <c r="GJ651" s="8"/>
      <c r="GK651" s="8"/>
      <c r="GL651" s="8"/>
      <c r="GM651" s="8"/>
      <c r="GN651" s="8"/>
      <c r="GO651" s="8"/>
      <c r="GP651" s="8"/>
      <c r="GQ651" s="8"/>
      <c r="GR651" s="8"/>
      <c r="GS651" s="8"/>
      <c r="GT651" s="8"/>
      <c r="GU651" s="8"/>
      <c r="GV651" s="8"/>
      <c r="GW651" s="8"/>
      <c r="GX651" s="8"/>
      <c r="GY651" s="8"/>
      <c r="GZ651" s="8"/>
      <c r="HA651" s="8"/>
      <c r="HB651" s="8"/>
      <c r="HC651" s="8"/>
      <c r="HD651" s="8"/>
      <c r="HE651" s="8"/>
      <c r="HF651" s="8"/>
      <c r="HG651" s="8"/>
      <c r="HH651" s="8"/>
      <c r="HI651" s="8"/>
      <c r="HJ651" s="8"/>
      <c r="HK651" s="8"/>
      <c r="HL651" s="8"/>
      <c r="HM651" s="8"/>
      <c r="HN651" s="8"/>
      <c r="HO651" s="8"/>
      <c r="HP651" s="8"/>
      <c r="HQ651" s="8"/>
      <c r="HR651" s="8"/>
      <c r="HS651" s="8"/>
      <c r="HT651" s="8"/>
      <c r="HU651" s="8"/>
      <c r="HV651" s="8"/>
      <c r="HW651" s="8"/>
      <c r="HX651" s="8"/>
      <c r="HY651" s="8"/>
      <c r="HZ651" s="8"/>
      <c r="IA651" s="8"/>
      <c r="IB651" s="8"/>
      <c r="IC651" s="8"/>
      <c r="ID651" s="8"/>
    </row>
    <row r="652" spans="5:23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8"/>
      <c r="CG652" s="8"/>
      <c r="CH652" s="8"/>
      <c r="CI652" s="8"/>
      <c r="CJ652" s="8"/>
      <c r="CK652" s="8"/>
      <c r="CL652" s="8"/>
      <c r="CM652" s="8"/>
      <c r="CN652" s="8"/>
      <c r="CO652" s="8"/>
      <c r="CP652" s="8"/>
      <c r="CQ652" s="8"/>
      <c r="CR652" s="8"/>
      <c r="CS652" s="8"/>
      <c r="CT652" s="8"/>
      <c r="CU652" s="8"/>
      <c r="CV652" s="8"/>
      <c r="CW652" s="8"/>
      <c r="CX652" s="8"/>
      <c r="CY652" s="8"/>
      <c r="CZ652" s="8"/>
      <c r="DA652" s="8"/>
      <c r="DB652" s="8"/>
      <c r="DC652" s="8"/>
      <c r="DD652" s="8"/>
      <c r="DE652" s="8"/>
      <c r="DF652" s="8"/>
      <c r="DG652" s="8"/>
      <c r="DH652" s="8"/>
      <c r="DI652" s="8"/>
      <c r="DJ652" s="8"/>
      <c r="DK652" s="8"/>
      <c r="DL652" s="8"/>
      <c r="DM652" s="8"/>
      <c r="DN652" s="8"/>
      <c r="DO652" s="8"/>
      <c r="DP652" s="8"/>
      <c r="DQ652" s="8"/>
      <c r="DR652" s="8"/>
      <c r="DS652" s="8"/>
      <c r="DT652" s="8"/>
      <c r="DU652" s="8"/>
      <c r="DV652" s="8"/>
      <c r="DW652" s="8"/>
      <c r="DX652" s="8"/>
      <c r="DY652" s="8"/>
      <c r="DZ652" s="8"/>
      <c r="EA652" s="8"/>
      <c r="EB652" s="8"/>
      <c r="EC652" s="8"/>
      <c r="ED652" s="8"/>
      <c r="EE652" s="8"/>
      <c r="EF652" s="8"/>
      <c r="EG652" s="8"/>
      <c r="EH652" s="8"/>
      <c r="EI652" s="8"/>
      <c r="EJ652" s="8"/>
      <c r="EK652" s="8"/>
      <c r="EL652" s="8"/>
      <c r="EM652" s="8"/>
      <c r="EN652" s="8"/>
      <c r="EO652" s="8"/>
      <c r="EP652" s="8"/>
      <c r="EQ652" s="8"/>
      <c r="ER652" s="8"/>
      <c r="ES652" s="8"/>
      <c r="ET652" s="8"/>
      <c r="EU652" s="8"/>
      <c r="EV652" s="8"/>
      <c r="EW652" s="8"/>
      <c r="EX652" s="8"/>
      <c r="EY652" s="8"/>
      <c r="EZ652" s="8"/>
      <c r="FA652" s="8"/>
      <c r="FB652" s="8"/>
      <c r="FC652" s="8"/>
      <c r="FD652" s="8"/>
      <c r="FE652" s="8"/>
      <c r="FF652" s="8"/>
      <c r="FG652" s="8"/>
      <c r="FH652" s="8"/>
      <c r="FI652" s="8"/>
      <c r="FJ652" s="8"/>
      <c r="FK652" s="8"/>
      <c r="FL652" s="8"/>
      <c r="FM652" s="8"/>
      <c r="FN652" s="8"/>
      <c r="FO652" s="8"/>
      <c r="FP652" s="8"/>
      <c r="FQ652" s="8"/>
      <c r="FR652" s="8"/>
      <c r="FS652" s="8"/>
      <c r="FT652" s="8"/>
      <c r="FU652" s="8"/>
      <c r="FV652" s="8"/>
      <c r="FW652" s="8"/>
      <c r="FX652" s="8"/>
      <c r="FY652" s="8"/>
      <c r="FZ652" s="8"/>
      <c r="GA652" s="8"/>
      <c r="GB652" s="8"/>
      <c r="GC652" s="8"/>
      <c r="GD652" s="8"/>
      <c r="GE652" s="8"/>
      <c r="GF652" s="8"/>
      <c r="GG652" s="8"/>
      <c r="GH652" s="8"/>
      <c r="GI652" s="8"/>
      <c r="GJ652" s="8"/>
      <c r="GK652" s="8"/>
      <c r="GL652" s="8"/>
      <c r="GM652" s="8"/>
      <c r="GN652" s="8"/>
      <c r="GO652" s="8"/>
      <c r="GP652" s="8"/>
      <c r="GQ652" s="8"/>
      <c r="GR652" s="8"/>
      <c r="GS652" s="8"/>
      <c r="GT652" s="8"/>
      <c r="GU652" s="8"/>
      <c r="GV652" s="8"/>
      <c r="GW652" s="8"/>
      <c r="GX652" s="8"/>
      <c r="GY652" s="8"/>
      <c r="GZ652" s="8"/>
      <c r="HA652" s="8"/>
      <c r="HB652" s="8"/>
      <c r="HC652" s="8"/>
      <c r="HD652" s="8"/>
      <c r="HE652" s="8"/>
      <c r="HF652" s="8"/>
      <c r="HG652" s="8"/>
      <c r="HH652" s="8"/>
      <c r="HI652" s="8"/>
      <c r="HJ652" s="8"/>
      <c r="HK652" s="8"/>
      <c r="HL652" s="8"/>
      <c r="HM652" s="8"/>
      <c r="HN652" s="8"/>
      <c r="HO652" s="8"/>
      <c r="HP652" s="8"/>
      <c r="HQ652" s="8"/>
      <c r="HR652" s="8"/>
      <c r="HS652" s="8"/>
      <c r="HT652" s="8"/>
      <c r="HU652" s="8"/>
      <c r="HV652" s="8"/>
      <c r="HW652" s="8"/>
      <c r="HX652" s="8"/>
      <c r="HY652" s="8"/>
      <c r="HZ652" s="8"/>
      <c r="IA652" s="8"/>
      <c r="IB652" s="8"/>
      <c r="IC652" s="8"/>
      <c r="ID652" s="8"/>
    </row>
    <row r="653" spans="5:23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c r="CB653" s="8"/>
      <c r="CC653" s="8"/>
      <c r="CD653" s="8"/>
      <c r="CE653" s="8"/>
      <c r="CF653" s="8"/>
      <c r="CG653" s="8"/>
      <c r="CH653" s="8"/>
      <c r="CI653" s="8"/>
      <c r="CJ653" s="8"/>
      <c r="CK653" s="8"/>
      <c r="CL653" s="8"/>
      <c r="CM653" s="8"/>
      <c r="CN653" s="8"/>
      <c r="CO653" s="8"/>
      <c r="CP653" s="8"/>
      <c r="CQ653" s="8"/>
      <c r="CR653" s="8"/>
      <c r="CS653" s="8"/>
      <c r="CT653" s="8"/>
      <c r="CU653" s="8"/>
      <c r="CV653" s="8"/>
      <c r="CW653" s="8"/>
      <c r="CX653" s="8"/>
      <c r="CY653" s="8"/>
      <c r="CZ653" s="8"/>
      <c r="DA653" s="8"/>
      <c r="DB653" s="8"/>
      <c r="DC653" s="8"/>
      <c r="DD653" s="8"/>
      <c r="DE653" s="8"/>
      <c r="DF653" s="8"/>
      <c r="DG653" s="8"/>
      <c r="DH653" s="8"/>
      <c r="DI653" s="8"/>
      <c r="DJ653" s="8"/>
      <c r="DK653" s="8"/>
      <c r="DL653" s="8"/>
      <c r="DM653" s="8"/>
      <c r="DN653" s="8"/>
      <c r="DO653" s="8"/>
      <c r="DP653" s="8"/>
      <c r="DQ653" s="8"/>
      <c r="DR653" s="8"/>
      <c r="DS653" s="8"/>
      <c r="DT653" s="8"/>
      <c r="DU653" s="8"/>
      <c r="DV653" s="8"/>
      <c r="DW653" s="8"/>
      <c r="DX653" s="8"/>
      <c r="DY653" s="8"/>
      <c r="DZ653" s="8"/>
      <c r="EA653" s="8"/>
      <c r="EB653" s="8"/>
      <c r="EC653" s="8"/>
      <c r="ED653" s="8"/>
      <c r="EE653" s="8"/>
      <c r="EF653" s="8"/>
      <c r="EG653" s="8"/>
      <c r="EH653" s="8"/>
      <c r="EI653" s="8"/>
      <c r="EJ653" s="8"/>
      <c r="EK653" s="8"/>
      <c r="EL653" s="8"/>
      <c r="EM653" s="8"/>
      <c r="EN653" s="8"/>
      <c r="EO653" s="8"/>
      <c r="EP653" s="8"/>
      <c r="EQ653" s="8"/>
      <c r="ER653" s="8"/>
      <c r="ES653" s="8"/>
      <c r="ET653" s="8"/>
      <c r="EU653" s="8"/>
      <c r="EV653" s="8"/>
      <c r="EW653" s="8"/>
      <c r="EX653" s="8"/>
      <c r="EY653" s="8"/>
      <c r="EZ653" s="8"/>
      <c r="FA653" s="8"/>
      <c r="FB653" s="8"/>
      <c r="FC653" s="8"/>
      <c r="FD653" s="8"/>
      <c r="FE653" s="8"/>
      <c r="FF653" s="8"/>
      <c r="FG653" s="8"/>
      <c r="FH653" s="8"/>
      <c r="FI653" s="8"/>
      <c r="FJ653" s="8"/>
      <c r="FK653" s="8"/>
      <c r="FL653" s="8"/>
      <c r="FM653" s="8"/>
      <c r="FN653" s="8"/>
      <c r="FO653" s="8"/>
      <c r="FP653" s="8"/>
      <c r="FQ653" s="8"/>
      <c r="FR653" s="8"/>
      <c r="FS653" s="8"/>
      <c r="FT653" s="8"/>
      <c r="FU653" s="8"/>
      <c r="FV653" s="8"/>
      <c r="FW653" s="8"/>
      <c r="FX653" s="8"/>
      <c r="FY653" s="8"/>
      <c r="FZ653" s="8"/>
      <c r="GA653" s="8"/>
      <c r="GB653" s="8"/>
      <c r="GC653" s="8"/>
      <c r="GD653" s="8"/>
      <c r="GE653" s="8"/>
      <c r="GF653" s="8"/>
      <c r="GG653" s="8"/>
      <c r="GH653" s="8"/>
      <c r="GI653" s="8"/>
      <c r="GJ653" s="8"/>
      <c r="GK653" s="8"/>
      <c r="GL653" s="8"/>
      <c r="GM653" s="8"/>
      <c r="GN653" s="8"/>
      <c r="GO653" s="8"/>
      <c r="GP653" s="8"/>
      <c r="GQ653" s="8"/>
      <c r="GR653" s="8"/>
      <c r="GS653" s="8"/>
      <c r="GT653" s="8"/>
      <c r="GU653" s="8"/>
      <c r="GV653" s="8"/>
      <c r="GW653" s="8"/>
      <c r="GX653" s="8"/>
      <c r="GY653" s="8"/>
      <c r="GZ653" s="8"/>
      <c r="HA653" s="8"/>
      <c r="HB653" s="8"/>
      <c r="HC653" s="8"/>
      <c r="HD653" s="8"/>
      <c r="HE653" s="8"/>
      <c r="HF653" s="8"/>
      <c r="HG653" s="8"/>
      <c r="HH653" s="8"/>
      <c r="HI653" s="8"/>
      <c r="HJ653" s="8"/>
      <c r="HK653" s="8"/>
      <c r="HL653" s="8"/>
      <c r="HM653" s="8"/>
      <c r="HN653" s="8"/>
      <c r="HO653" s="8"/>
      <c r="HP653" s="8"/>
      <c r="HQ653" s="8"/>
      <c r="HR653" s="8"/>
      <c r="HS653" s="8"/>
      <c r="HT653" s="8"/>
      <c r="HU653" s="8"/>
      <c r="HV653" s="8"/>
      <c r="HW653" s="8"/>
      <c r="HX653" s="8"/>
      <c r="HY653" s="8"/>
      <c r="HZ653" s="8"/>
      <c r="IA653" s="8"/>
      <c r="IB653" s="8"/>
      <c r="IC653" s="8"/>
      <c r="ID653" s="8"/>
    </row>
    <row r="654" spans="5:23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8"/>
      <c r="CH654" s="8"/>
      <c r="CI654" s="8"/>
      <c r="CJ654" s="8"/>
      <c r="CK654" s="8"/>
      <c r="CL654" s="8"/>
      <c r="CM654" s="8"/>
      <c r="CN654" s="8"/>
      <c r="CO654" s="8"/>
      <c r="CP654" s="8"/>
      <c r="CQ654" s="8"/>
      <c r="CR654" s="8"/>
      <c r="CS654" s="8"/>
      <c r="CT654" s="8"/>
      <c r="CU654" s="8"/>
      <c r="CV654" s="8"/>
      <c r="CW654" s="8"/>
      <c r="CX654" s="8"/>
      <c r="CY654" s="8"/>
      <c r="CZ654" s="8"/>
      <c r="DA654" s="8"/>
      <c r="DB654" s="8"/>
      <c r="DC654" s="8"/>
      <c r="DD654" s="8"/>
      <c r="DE654" s="8"/>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8"/>
      <c r="EE654" s="8"/>
      <c r="EF654" s="8"/>
      <c r="EG654" s="8"/>
      <c r="EH654" s="8"/>
      <c r="EI654" s="8"/>
      <c r="EJ654" s="8"/>
      <c r="EK654" s="8"/>
      <c r="EL654" s="8"/>
      <c r="EM654" s="8"/>
      <c r="EN654" s="8"/>
      <c r="EO654" s="8"/>
      <c r="EP654" s="8"/>
      <c r="EQ654" s="8"/>
      <c r="ER654" s="8"/>
      <c r="ES654" s="8"/>
      <c r="ET654" s="8"/>
      <c r="EU654" s="8"/>
      <c r="EV654" s="8"/>
      <c r="EW654" s="8"/>
      <c r="EX654" s="8"/>
      <c r="EY654" s="8"/>
      <c r="EZ654" s="8"/>
      <c r="FA654" s="8"/>
      <c r="FB654" s="8"/>
      <c r="FC654" s="8"/>
      <c r="FD654" s="8"/>
      <c r="FE654" s="8"/>
      <c r="FF654" s="8"/>
      <c r="FG654" s="8"/>
      <c r="FH654" s="8"/>
      <c r="FI654" s="8"/>
      <c r="FJ654" s="8"/>
      <c r="FK654" s="8"/>
      <c r="FL654" s="8"/>
      <c r="FM654" s="8"/>
      <c r="FN654" s="8"/>
      <c r="FO654" s="8"/>
      <c r="FP654" s="8"/>
      <c r="FQ654" s="8"/>
      <c r="FR654" s="8"/>
      <c r="FS654" s="8"/>
      <c r="FT654" s="8"/>
      <c r="FU654" s="8"/>
      <c r="FV654" s="8"/>
      <c r="FW654" s="8"/>
      <c r="FX654" s="8"/>
      <c r="FY654" s="8"/>
      <c r="FZ654" s="8"/>
      <c r="GA654" s="8"/>
      <c r="GB654" s="8"/>
      <c r="GC654" s="8"/>
      <c r="GD654" s="8"/>
      <c r="GE654" s="8"/>
      <c r="GF654" s="8"/>
      <c r="GG654" s="8"/>
      <c r="GH654" s="8"/>
      <c r="GI654" s="8"/>
      <c r="GJ654" s="8"/>
      <c r="GK654" s="8"/>
      <c r="GL654" s="8"/>
      <c r="GM654" s="8"/>
      <c r="GN654" s="8"/>
      <c r="GO654" s="8"/>
      <c r="GP654" s="8"/>
      <c r="GQ654" s="8"/>
      <c r="GR654" s="8"/>
      <c r="GS654" s="8"/>
      <c r="GT654" s="8"/>
      <c r="GU654" s="8"/>
      <c r="GV654" s="8"/>
      <c r="GW654" s="8"/>
      <c r="GX654" s="8"/>
      <c r="GY654" s="8"/>
      <c r="GZ654" s="8"/>
      <c r="HA654" s="8"/>
      <c r="HB654" s="8"/>
      <c r="HC654" s="8"/>
      <c r="HD654" s="8"/>
      <c r="HE654" s="8"/>
      <c r="HF654" s="8"/>
      <c r="HG654" s="8"/>
      <c r="HH654" s="8"/>
      <c r="HI654" s="8"/>
      <c r="HJ654" s="8"/>
      <c r="HK654" s="8"/>
      <c r="HL654" s="8"/>
      <c r="HM654" s="8"/>
      <c r="HN654" s="8"/>
      <c r="HO654" s="8"/>
      <c r="HP654" s="8"/>
      <c r="HQ654" s="8"/>
      <c r="HR654" s="8"/>
      <c r="HS654" s="8"/>
      <c r="HT654" s="8"/>
      <c r="HU654" s="8"/>
      <c r="HV654" s="8"/>
      <c r="HW654" s="8"/>
      <c r="HX654" s="8"/>
      <c r="HY654" s="8"/>
      <c r="HZ654" s="8"/>
      <c r="IA654" s="8"/>
      <c r="IB654" s="8"/>
      <c r="IC654" s="8"/>
      <c r="ID654" s="8"/>
    </row>
    <row r="655" spans="5:23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8"/>
      <c r="EE655" s="8"/>
      <c r="EF655" s="8"/>
      <c r="EG655" s="8"/>
      <c r="EH655" s="8"/>
      <c r="EI655" s="8"/>
      <c r="EJ655" s="8"/>
      <c r="EK655" s="8"/>
      <c r="EL655" s="8"/>
      <c r="EM655" s="8"/>
      <c r="EN655" s="8"/>
      <c r="EO655" s="8"/>
      <c r="EP655" s="8"/>
      <c r="EQ655" s="8"/>
      <c r="ER655" s="8"/>
      <c r="ES655" s="8"/>
      <c r="ET655" s="8"/>
      <c r="EU655" s="8"/>
      <c r="EV655" s="8"/>
      <c r="EW655" s="8"/>
      <c r="EX655" s="8"/>
      <c r="EY655" s="8"/>
      <c r="EZ655" s="8"/>
      <c r="FA655" s="8"/>
      <c r="FB655" s="8"/>
      <c r="FC655" s="8"/>
      <c r="FD655" s="8"/>
      <c r="FE655" s="8"/>
      <c r="FF655" s="8"/>
      <c r="FG655" s="8"/>
      <c r="FH655" s="8"/>
      <c r="FI655" s="8"/>
      <c r="FJ655" s="8"/>
      <c r="FK655" s="8"/>
      <c r="FL655" s="8"/>
      <c r="FM655" s="8"/>
      <c r="FN655" s="8"/>
      <c r="FO655" s="8"/>
      <c r="FP655" s="8"/>
      <c r="FQ655" s="8"/>
      <c r="FR655" s="8"/>
      <c r="FS655" s="8"/>
      <c r="FT655" s="8"/>
      <c r="FU655" s="8"/>
      <c r="FV655" s="8"/>
      <c r="FW655" s="8"/>
      <c r="FX655" s="8"/>
      <c r="FY655" s="8"/>
      <c r="FZ655" s="8"/>
      <c r="GA655" s="8"/>
      <c r="GB655" s="8"/>
      <c r="GC655" s="8"/>
      <c r="GD655" s="8"/>
      <c r="GE655" s="8"/>
      <c r="GF655" s="8"/>
      <c r="GG655" s="8"/>
      <c r="GH655" s="8"/>
      <c r="GI655" s="8"/>
      <c r="GJ655" s="8"/>
      <c r="GK655" s="8"/>
      <c r="GL655" s="8"/>
      <c r="GM655" s="8"/>
      <c r="GN655" s="8"/>
      <c r="GO655" s="8"/>
      <c r="GP655" s="8"/>
      <c r="GQ655" s="8"/>
      <c r="GR655" s="8"/>
      <c r="GS655" s="8"/>
      <c r="GT655" s="8"/>
      <c r="GU655" s="8"/>
      <c r="GV655" s="8"/>
      <c r="GW655" s="8"/>
      <c r="GX655" s="8"/>
      <c r="GY655" s="8"/>
      <c r="GZ655" s="8"/>
      <c r="HA655" s="8"/>
      <c r="HB655" s="8"/>
      <c r="HC655" s="8"/>
      <c r="HD655" s="8"/>
      <c r="HE655" s="8"/>
      <c r="HF655" s="8"/>
      <c r="HG655" s="8"/>
      <c r="HH655" s="8"/>
      <c r="HI655" s="8"/>
      <c r="HJ655" s="8"/>
      <c r="HK655" s="8"/>
      <c r="HL655" s="8"/>
      <c r="HM655" s="8"/>
      <c r="HN655" s="8"/>
      <c r="HO655" s="8"/>
      <c r="HP655" s="8"/>
      <c r="HQ655" s="8"/>
      <c r="HR655" s="8"/>
      <c r="HS655" s="8"/>
      <c r="HT655" s="8"/>
      <c r="HU655" s="8"/>
      <c r="HV655" s="8"/>
      <c r="HW655" s="8"/>
      <c r="HX655" s="8"/>
      <c r="HY655" s="8"/>
      <c r="HZ655" s="8"/>
      <c r="IA655" s="8"/>
      <c r="IB655" s="8"/>
      <c r="IC655" s="8"/>
      <c r="ID655" s="8"/>
    </row>
    <row r="656" spans="5:23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c r="CB656" s="8"/>
      <c r="CC656" s="8"/>
      <c r="CD656" s="8"/>
      <c r="CE656" s="8"/>
      <c r="CF656" s="8"/>
      <c r="CG656" s="8"/>
      <c r="CH656" s="8"/>
      <c r="CI656" s="8"/>
      <c r="CJ656" s="8"/>
      <c r="CK656" s="8"/>
      <c r="CL656" s="8"/>
      <c r="CM656" s="8"/>
      <c r="CN656" s="8"/>
      <c r="CO656" s="8"/>
      <c r="CP656" s="8"/>
      <c r="CQ656" s="8"/>
      <c r="CR656" s="8"/>
      <c r="CS656" s="8"/>
      <c r="CT656" s="8"/>
      <c r="CU656" s="8"/>
      <c r="CV656" s="8"/>
      <c r="CW656" s="8"/>
      <c r="CX656" s="8"/>
      <c r="CY656" s="8"/>
      <c r="CZ656" s="8"/>
      <c r="DA656" s="8"/>
      <c r="DB656" s="8"/>
      <c r="DC656" s="8"/>
      <c r="DD656" s="8"/>
      <c r="DE656" s="8"/>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8"/>
      <c r="EE656" s="8"/>
      <c r="EF656" s="8"/>
      <c r="EG656" s="8"/>
      <c r="EH656" s="8"/>
      <c r="EI656" s="8"/>
      <c r="EJ656" s="8"/>
      <c r="EK656" s="8"/>
      <c r="EL656" s="8"/>
      <c r="EM656" s="8"/>
      <c r="EN656" s="8"/>
      <c r="EO656" s="8"/>
      <c r="EP656" s="8"/>
      <c r="EQ656" s="8"/>
      <c r="ER656" s="8"/>
      <c r="ES656" s="8"/>
      <c r="ET656" s="8"/>
      <c r="EU656" s="8"/>
      <c r="EV656" s="8"/>
      <c r="EW656" s="8"/>
      <c r="EX656" s="8"/>
      <c r="EY656" s="8"/>
      <c r="EZ656" s="8"/>
      <c r="FA656" s="8"/>
      <c r="FB656" s="8"/>
      <c r="FC656" s="8"/>
      <c r="FD656" s="8"/>
      <c r="FE656" s="8"/>
      <c r="FF656" s="8"/>
      <c r="FG656" s="8"/>
      <c r="FH656" s="8"/>
      <c r="FI656" s="8"/>
      <c r="FJ656" s="8"/>
      <c r="FK656" s="8"/>
      <c r="FL656" s="8"/>
      <c r="FM656" s="8"/>
      <c r="FN656" s="8"/>
      <c r="FO656" s="8"/>
      <c r="FP656" s="8"/>
      <c r="FQ656" s="8"/>
      <c r="FR656" s="8"/>
      <c r="FS656" s="8"/>
      <c r="FT656" s="8"/>
      <c r="FU656" s="8"/>
      <c r="FV656" s="8"/>
      <c r="FW656" s="8"/>
      <c r="FX656" s="8"/>
      <c r="FY656" s="8"/>
      <c r="FZ656" s="8"/>
      <c r="GA656" s="8"/>
      <c r="GB656" s="8"/>
      <c r="GC656" s="8"/>
      <c r="GD656" s="8"/>
      <c r="GE656" s="8"/>
      <c r="GF656" s="8"/>
      <c r="GG656" s="8"/>
      <c r="GH656" s="8"/>
      <c r="GI656" s="8"/>
      <c r="GJ656" s="8"/>
      <c r="GK656" s="8"/>
      <c r="GL656" s="8"/>
      <c r="GM656" s="8"/>
      <c r="GN656" s="8"/>
      <c r="GO656" s="8"/>
      <c r="GP656" s="8"/>
      <c r="GQ656" s="8"/>
      <c r="GR656" s="8"/>
      <c r="GS656" s="8"/>
      <c r="GT656" s="8"/>
      <c r="GU656" s="8"/>
      <c r="GV656" s="8"/>
      <c r="GW656" s="8"/>
      <c r="GX656" s="8"/>
      <c r="GY656" s="8"/>
      <c r="GZ656" s="8"/>
      <c r="HA656" s="8"/>
      <c r="HB656" s="8"/>
      <c r="HC656" s="8"/>
      <c r="HD656" s="8"/>
      <c r="HE656" s="8"/>
      <c r="HF656" s="8"/>
      <c r="HG656" s="8"/>
      <c r="HH656" s="8"/>
      <c r="HI656" s="8"/>
      <c r="HJ656" s="8"/>
      <c r="HK656" s="8"/>
      <c r="HL656" s="8"/>
      <c r="HM656" s="8"/>
      <c r="HN656" s="8"/>
      <c r="HO656" s="8"/>
      <c r="HP656" s="8"/>
      <c r="HQ656" s="8"/>
      <c r="HR656" s="8"/>
      <c r="HS656" s="8"/>
      <c r="HT656" s="8"/>
      <c r="HU656" s="8"/>
      <c r="HV656" s="8"/>
      <c r="HW656" s="8"/>
      <c r="HX656" s="8"/>
      <c r="HY656" s="8"/>
      <c r="HZ656" s="8"/>
      <c r="IA656" s="8"/>
      <c r="IB656" s="8"/>
      <c r="IC656" s="8"/>
      <c r="ID656" s="8"/>
    </row>
    <row r="657" spans="5:23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c r="CB657" s="8"/>
      <c r="CC657" s="8"/>
      <c r="CD657" s="8"/>
      <c r="CE657" s="8"/>
      <c r="CF657" s="8"/>
      <c r="CG657" s="8"/>
      <c r="CH657" s="8"/>
      <c r="CI657" s="8"/>
      <c r="CJ657" s="8"/>
      <c r="CK657" s="8"/>
      <c r="CL657" s="8"/>
      <c r="CM657" s="8"/>
      <c r="CN657" s="8"/>
      <c r="CO657" s="8"/>
      <c r="CP657" s="8"/>
      <c r="CQ657" s="8"/>
      <c r="CR657" s="8"/>
      <c r="CS657" s="8"/>
      <c r="CT657" s="8"/>
      <c r="CU657" s="8"/>
      <c r="CV657" s="8"/>
      <c r="CW657" s="8"/>
      <c r="CX657" s="8"/>
      <c r="CY657" s="8"/>
      <c r="CZ657" s="8"/>
      <c r="DA657" s="8"/>
      <c r="DB657" s="8"/>
      <c r="DC657" s="8"/>
      <c r="DD657" s="8"/>
      <c r="DE657" s="8"/>
      <c r="DF657" s="8"/>
      <c r="DG657" s="8"/>
      <c r="DH657" s="8"/>
      <c r="DI657" s="8"/>
      <c r="DJ657" s="8"/>
      <c r="DK657" s="8"/>
      <c r="DL657" s="8"/>
      <c r="DM657" s="8"/>
      <c r="DN657" s="8"/>
      <c r="DO657" s="8"/>
      <c r="DP657" s="8"/>
      <c r="DQ657" s="8"/>
      <c r="DR657" s="8"/>
      <c r="DS657" s="8"/>
      <c r="DT657" s="8"/>
      <c r="DU657" s="8"/>
      <c r="DV657" s="8"/>
      <c r="DW657" s="8"/>
      <c r="DX657" s="8"/>
      <c r="DY657" s="8"/>
      <c r="DZ657" s="8"/>
      <c r="EA657" s="8"/>
      <c r="EB657" s="8"/>
      <c r="EC657" s="8"/>
      <c r="ED657" s="8"/>
      <c r="EE657" s="8"/>
      <c r="EF657" s="8"/>
      <c r="EG657" s="8"/>
      <c r="EH657" s="8"/>
      <c r="EI657" s="8"/>
      <c r="EJ657" s="8"/>
      <c r="EK657" s="8"/>
      <c r="EL657" s="8"/>
      <c r="EM657" s="8"/>
      <c r="EN657" s="8"/>
      <c r="EO657" s="8"/>
      <c r="EP657" s="8"/>
      <c r="EQ657" s="8"/>
      <c r="ER657" s="8"/>
      <c r="ES657" s="8"/>
      <c r="ET657" s="8"/>
      <c r="EU657" s="8"/>
      <c r="EV657" s="8"/>
      <c r="EW657" s="8"/>
      <c r="EX657" s="8"/>
      <c r="EY657" s="8"/>
      <c r="EZ657" s="8"/>
      <c r="FA657" s="8"/>
      <c r="FB657" s="8"/>
      <c r="FC657" s="8"/>
      <c r="FD657" s="8"/>
      <c r="FE657" s="8"/>
      <c r="FF657" s="8"/>
      <c r="FG657" s="8"/>
      <c r="FH657" s="8"/>
      <c r="FI657" s="8"/>
      <c r="FJ657" s="8"/>
      <c r="FK657" s="8"/>
      <c r="FL657" s="8"/>
      <c r="FM657" s="8"/>
      <c r="FN657" s="8"/>
      <c r="FO657" s="8"/>
      <c r="FP657" s="8"/>
      <c r="FQ657" s="8"/>
      <c r="FR657" s="8"/>
      <c r="FS657" s="8"/>
      <c r="FT657" s="8"/>
      <c r="FU657" s="8"/>
      <c r="FV657" s="8"/>
      <c r="FW657" s="8"/>
      <c r="FX657" s="8"/>
      <c r="FY657" s="8"/>
      <c r="FZ657" s="8"/>
      <c r="GA657" s="8"/>
      <c r="GB657" s="8"/>
      <c r="GC657" s="8"/>
      <c r="GD657" s="8"/>
      <c r="GE657" s="8"/>
      <c r="GF657" s="8"/>
      <c r="GG657" s="8"/>
      <c r="GH657" s="8"/>
      <c r="GI657" s="8"/>
      <c r="GJ657" s="8"/>
      <c r="GK657" s="8"/>
      <c r="GL657" s="8"/>
      <c r="GM657" s="8"/>
      <c r="GN657" s="8"/>
      <c r="GO657" s="8"/>
      <c r="GP657" s="8"/>
      <c r="GQ657" s="8"/>
      <c r="GR657" s="8"/>
      <c r="GS657" s="8"/>
      <c r="GT657" s="8"/>
      <c r="GU657" s="8"/>
      <c r="GV657" s="8"/>
      <c r="GW657" s="8"/>
      <c r="GX657" s="8"/>
      <c r="GY657" s="8"/>
      <c r="GZ657" s="8"/>
      <c r="HA657" s="8"/>
      <c r="HB657" s="8"/>
      <c r="HC657" s="8"/>
      <c r="HD657" s="8"/>
      <c r="HE657" s="8"/>
      <c r="HF657" s="8"/>
      <c r="HG657" s="8"/>
      <c r="HH657" s="8"/>
      <c r="HI657" s="8"/>
      <c r="HJ657" s="8"/>
      <c r="HK657" s="8"/>
      <c r="HL657" s="8"/>
      <c r="HM657" s="8"/>
      <c r="HN657" s="8"/>
      <c r="HO657" s="8"/>
      <c r="HP657" s="8"/>
      <c r="HQ657" s="8"/>
      <c r="HR657" s="8"/>
      <c r="HS657" s="8"/>
      <c r="HT657" s="8"/>
      <c r="HU657" s="8"/>
      <c r="HV657" s="8"/>
      <c r="HW657" s="8"/>
      <c r="HX657" s="8"/>
      <c r="HY657" s="8"/>
      <c r="HZ657" s="8"/>
      <c r="IA657" s="8"/>
      <c r="IB657" s="8"/>
      <c r="IC657" s="8"/>
      <c r="ID657" s="8"/>
    </row>
    <row r="658" spans="5:23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c r="CB658" s="8"/>
      <c r="CC658" s="8"/>
      <c r="CD658" s="8"/>
      <c r="CE658" s="8"/>
      <c r="CF658" s="8"/>
      <c r="CG658" s="8"/>
      <c r="CH658" s="8"/>
      <c r="CI658" s="8"/>
      <c r="CJ658" s="8"/>
      <c r="CK658" s="8"/>
      <c r="CL658" s="8"/>
      <c r="CM658" s="8"/>
      <c r="CN658" s="8"/>
      <c r="CO658" s="8"/>
      <c r="CP658" s="8"/>
      <c r="CQ658" s="8"/>
      <c r="CR658" s="8"/>
      <c r="CS658" s="8"/>
      <c r="CT658" s="8"/>
      <c r="CU658" s="8"/>
      <c r="CV658" s="8"/>
      <c r="CW658" s="8"/>
      <c r="CX658" s="8"/>
      <c r="CY658" s="8"/>
      <c r="CZ658" s="8"/>
      <c r="DA658" s="8"/>
      <c r="DB658" s="8"/>
      <c r="DC658" s="8"/>
      <c r="DD658" s="8"/>
      <c r="DE658" s="8"/>
      <c r="DF658" s="8"/>
      <c r="DG658" s="8"/>
      <c r="DH658" s="8"/>
      <c r="DI658" s="8"/>
      <c r="DJ658" s="8"/>
      <c r="DK658" s="8"/>
      <c r="DL658" s="8"/>
      <c r="DM658" s="8"/>
      <c r="DN658" s="8"/>
      <c r="DO658" s="8"/>
      <c r="DP658" s="8"/>
      <c r="DQ658" s="8"/>
      <c r="DR658" s="8"/>
      <c r="DS658" s="8"/>
      <c r="DT658" s="8"/>
      <c r="DU658" s="8"/>
      <c r="DV658" s="8"/>
      <c r="DW658" s="8"/>
      <c r="DX658" s="8"/>
      <c r="DY658" s="8"/>
      <c r="DZ658" s="8"/>
      <c r="EA658" s="8"/>
      <c r="EB658" s="8"/>
      <c r="EC658" s="8"/>
      <c r="ED658" s="8"/>
      <c r="EE658" s="8"/>
      <c r="EF658" s="8"/>
      <c r="EG658" s="8"/>
      <c r="EH658" s="8"/>
      <c r="EI658" s="8"/>
      <c r="EJ658" s="8"/>
      <c r="EK658" s="8"/>
      <c r="EL658" s="8"/>
      <c r="EM658" s="8"/>
      <c r="EN658" s="8"/>
      <c r="EO658" s="8"/>
      <c r="EP658" s="8"/>
      <c r="EQ658" s="8"/>
      <c r="ER658" s="8"/>
      <c r="ES658" s="8"/>
      <c r="ET658" s="8"/>
      <c r="EU658" s="8"/>
      <c r="EV658" s="8"/>
      <c r="EW658" s="8"/>
      <c r="EX658" s="8"/>
      <c r="EY658" s="8"/>
      <c r="EZ658" s="8"/>
      <c r="FA658" s="8"/>
      <c r="FB658" s="8"/>
      <c r="FC658" s="8"/>
      <c r="FD658" s="8"/>
      <c r="FE658" s="8"/>
      <c r="FF658" s="8"/>
      <c r="FG658" s="8"/>
      <c r="FH658" s="8"/>
      <c r="FI658" s="8"/>
      <c r="FJ658" s="8"/>
      <c r="FK658" s="8"/>
      <c r="FL658" s="8"/>
      <c r="FM658" s="8"/>
      <c r="FN658" s="8"/>
      <c r="FO658" s="8"/>
      <c r="FP658" s="8"/>
      <c r="FQ658" s="8"/>
      <c r="FR658" s="8"/>
      <c r="FS658" s="8"/>
      <c r="FT658" s="8"/>
      <c r="FU658" s="8"/>
      <c r="FV658" s="8"/>
      <c r="FW658" s="8"/>
      <c r="FX658" s="8"/>
      <c r="FY658" s="8"/>
      <c r="FZ658" s="8"/>
      <c r="GA658" s="8"/>
      <c r="GB658" s="8"/>
      <c r="GC658" s="8"/>
      <c r="GD658" s="8"/>
      <c r="GE658" s="8"/>
      <c r="GF658" s="8"/>
      <c r="GG658" s="8"/>
      <c r="GH658" s="8"/>
      <c r="GI658" s="8"/>
      <c r="GJ658" s="8"/>
      <c r="GK658" s="8"/>
      <c r="GL658" s="8"/>
      <c r="GM658" s="8"/>
      <c r="GN658" s="8"/>
      <c r="GO658" s="8"/>
      <c r="GP658" s="8"/>
      <c r="GQ658" s="8"/>
      <c r="GR658" s="8"/>
      <c r="GS658" s="8"/>
      <c r="GT658" s="8"/>
      <c r="GU658" s="8"/>
      <c r="GV658" s="8"/>
      <c r="GW658" s="8"/>
      <c r="GX658" s="8"/>
      <c r="GY658" s="8"/>
      <c r="GZ658" s="8"/>
      <c r="HA658" s="8"/>
      <c r="HB658" s="8"/>
      <c r="HC658" s="8"/>
      <c r="HD658" s="8"/>
      <c r="HE658" s="8"/>
      <c r="HF658" s="8"/>
      <c r="HG658" s="8"/>
      <c r="HH658" s="8"/>
      <c r="HI658" s="8"/>
      <c r="HJ658" s="8"/>
      <c r="HK658" s="8"/>
      <c r="HL658" s="8"/>
      <c r="HM658" s="8"/>
      <c r="HN658" s="8"/>
      <c r="HO658" s="8"/>
      <c r="HP658" s="8"/>
      <c r="HQ658" s="8"/>
      <c r="HR658" s="8"/>
      <c r="HS658" s="8"/>
      <c r="HT658" s="8"/>
      <c r="HU658" s="8"/>
      <c r="HV658" s="8"/>
      <c r="HW658" s="8"/>
      <c r="HX658" s="8"/>
      <c r="HY658" s="8"/>
      <c r="HZ658" s="8"/>
      <c r="IA658" s="8"/>
      <c r="IB658" s="8"/>
      <c r="IC658" s="8"/>
      <c r="ID658" s="8"/>
    </row>
    <row r="659" spans="5:23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c r="CB659" s="8"/>
      <c r="CC659" s="8"/>
      <c r="CD659" s="8"/>
      <c r="CE659" s="8"/>
      <c r="CF659" s="8"/>
      <c r="CG659" s="8"/>
      <c r="CH659" s="8"/>
      <c r="CI659" s="8"/>
      <c r="CJ659" s="8"/>
      <c r="CK659" s="8"/>
      <c r="CL659" s="8"/>
      <c r="CM659" s="8"/>
      <c r="CN659" s="8"/>
      <c r="CO659" s="8"/>
      <c r="CP659" s="8"/>
      <c r="CQ659" s="8"/>
      <c r="CR659" s="8"/>
      <c r="CS659" s="8"/>
      <c r="CT659" s="8"/>
      <c r="CU659" s="8"/>
      <c r="CV659" s="8"/>
      <c r="CW659" s="8"/>
      <c r="CX659" s="8"/>
      <c r="CY659" s="8"/>
      <c r="CZ659" s="8"/>
      <c r="DA659" s="8"/>
      <c r="DB659" s="8"/>
      <c r="DC659" s="8"/>
      <c r="DD659" s="8"/>
      <c r="DE659" s="8"/>
      <c r="DF659" s="8"/>
      <c r="DG659" s="8"/>
      <c r="DH659" s="8"/>
      <c r="DI659" s="8"/>
      <c r="DJ659" s="8"/>
      <c r="DK659" s="8"/>
      <c r="DL659" s="8"/>
      <c r="DM659" s="8"/>
      <c r="DN659" s="8"/>
      <c r="DO659" s="8"/>
      <c r="DP659" s="8"/>
      <c r="DQ659" s="8"/>
      <c r="DR659" s="8"/>
      <c r="DS659" s="8"/>
      <c r="DT659" s="8"/>
      <c r="DU659" s="8"/>
      <c r="DV659" s="8"/>
      <c r="DW659" s="8"/>
      <c r="DX659" s="8"/>
      <c r="DY659" s="8"/>
      <c r="DZ659" s="8"/>
      <c r="EA659" s="8"/>
      <c r="EB659" s="8"/>
      <c r="EC659" s="8"/>
      <c r="ED659" s="8"/>
      <c r="EE659" s="8"/>
      <c r="EF659" s="8"/>
      <c r="EG659" s="8"/>
      <c r="EH659" s="8"/>
      <c r="EI659" s="8"/>
      <c r="EJ659" s="8"/>
      <c r="EK659" s="8"/>
      <c r="EL659" s="8"/>
      <c r="EM659" s="8"/>
      <c r="EN659" s="8"/>
      <c r="EO659" s="8"/>
      <c r="EP659" s="8"/>
      <c r="EQ659" s="8"/>
      <c r="ER659" s="8"/>
      <c r="ES659" s="8"/>
      <c r="ET659" s="8"/>
      <c r="EU659" s="8"/>
      <c r="EV659" s="8"/>
      <c r="EW659" s="8"/>
      <c r="EX659" s="8"/>
      <c r="EY659" s="8"/>
      <c r="EZ659" s="8"/>
      <c r="FA659" s="8"/>
      <c r="FB659" s="8"/>
      <c r="FC659" s="8"/>
      <c r="FD659" s="8"/>
      <c r="FE659" s="8"/>
      <c r="FF659" s="8"/>
      <c r="FG659" s="8"/>
      <c r="FH659" s="8"/>
      <c r="FI659" s="8"/>
      <c r="FJ659" s="8"/>
      <c r="FK659" s="8"/>
      <c r="FL659" s="8"/>
      <c r="FM659" s="8"/>
      <c r="FN659" s="8"/>
      <c r="FO659" s="8"/>
      <c r="FP659" s="8"/>
      <c r="FQ659" s="8"/>
      <c r="FR659" s="8"/>
      <c r="FS659" s="8"/>
      <c r="FT659" s="8"/>
      <c r="FU659" s="8"/>
      <c r="FV659" s="8"/>
      <c r="FW659" s="8"/>
      <c r="FX659" s="8"/>
      <c r="FY659" s="8"/>
      <c r="FZ659" s="8"/>
      <c r="GA659" s="8"/>
      <c r="GB659" s="8"/>
      <c r="GC659" s="8"/>
      <c r="GD659" s="8"/>
      <c r="GE659" s="8"/>
      <c r="GF659" s="8"/>
      <c r="GG659" s="8"/>
      <c r="GH659" s="8"/>
      <c r="GI659" s="8"/>
      <c r="GJ659" s="8"/>
      <c r="GK659" s="8"/>
      <c r="GL659" s="8"/>
      <c r="GM659" s="8"/>
      <c r="GN659" s="8"/>
      <c r="GO659" s="8"/>
      <c r="GP659" s="8"/>
      <c r="GQ659" s="8"/>
      <c r="GR659" s="8"/>
      <c r="GS659" s="8"/>
      <c r="GT659" s="8"/>
      <c r="GU659" s="8"/>
      <c r="GV659" s="8"/>
      <c r="GW659" s="8"/>
      <c r="GX659" s="8"/>
      <c r="GY659" s="8"/>
      <c r="GZ659" s="8"/>
      <c r="HA659" s="8"/>
      <c r="HB659" s="8"/>
      <c r="HC659" s="8"/>
      <c r="HD659" s="8"/>
      <c r="HE659" s="8"/>
      <c r="HF659" s="8"/>
      <c r="HG659" s="8"/>
      <c r="HH659" s="8"/>
      <c r="HI659" s="8"/>
      <c r="HJ659" s="8"/>
      <c r="HK659" s="8"/>
      <c r="HL659" s="8"/>
      <c r="HM659" s="8"/>
      <c r="HN659" s="8"/>
      <c r="HO659" s="8"/>
      <c r="HP659" s="8"/>
      <c r="HQ659" s="8"/>
      <c r="HR659" s="8"/>
      <c r="HS659" s="8"/>
      <c r="HT659" s="8"/>
      <c r="HU659" s="8"/>
      <c r="HV659" s="8"/>
      <c r="HW659" s="8"/>
      <c r="HX659" s="8"/>
      <c r="HY659" s="8"/>
      <c r="HZ659" s="8"/>
      <c r="IA659" s="8"/>
      <c r="IB659" s="8"/>
      <c r="IC659" s="8"/>
      <c r="ID659" s="8"/>
    </row>
    <row r="660" spans="5:23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8"/>
      <c r="CG660" s="8"/>
      <c r="CH660" s="8"/>
      <c r="CI660" s="8"/>
      <c r="CJ660" s="8"/>
      <c r="CK660" s="8"/>
      <c r="CL660" s="8"/>
      <c r="CM660" s="8"/>
      <c r="CN660" s="8"/>
      <c r="CO660" s="8"/>
      <c r="CP660" s="8"/>
      <c r="CQ660" s="8"/>
      <c r="CR660" s="8"/>
      <c r="CS660" s="8"/>
      <c r="CT660" s="8"/>
      <c r="CU660" s="8"/>
      <c r="CV660" s="8"/>
      <c r="CW660" s="8"/>
      <c r="CX660" s="8"/>
      <c r="CY660" s="8"/>
      <c r="CZ660" s="8"/>
      <c r="DA660" s="8"/>
      <c r="DB660" s="8"/>
      <c r="DC660" s="8"/>
      <c r="DD660" s="8"/>
      <c r="DE660" s="8"/>
      <c r="DF660" s="8"/>
      <c r="DG660" s="8"/>
      <c r="DH660" s="8"/>
      <c r="DI660" s="8"/>
      <c r="DJ660" s="8"/>
      <c r="DK660" s="8"/>
      <c r="DL660" s="8"/>
      <c r="DM660" s="8"/>
      <c r="DN660" s="8"/>
      <c r="DO660" s="8"/>
      <c r="DP660" s="8"/>
      <c r="DQ660" s="8"/>
      <c r="DR660" s="8"/>
      <c r="DS660" s="8"/>
      <c r="DT660" s="8"/>
      <c r="DU660" s="8"/>
      <c r="DV660" s="8"/>
      <c r="DW660" s="8"/>
      <c r="DX660" s="8"/>
      <c r="DY660" s="8"/>
      <c r="DZ660" s="8"/>
      <c r="EA660" s="8"/>
      <c r="EB660" s="8"/>
      <c r="EC660" s="8"/>
      <c r="ED660" s="8"/>
      <c r="EE660" s="8"/>
      <c r="EF660" s="8"/>
      <c r="EG660" s="8"/>
      <c r="EH660" s="8"/>
      <c r="EI660" s="8"/>
      <c r="EJ660" s="8"/>
      <c r="EK660" s="8"/>
      <c r="EL660" s="8"/>
      <c r="EM660" s="8"/>
      <c r="EN660" s="8"/>
      <c r="EO660" s="8"/>
      <c r="EP660" s="8"/>
      <c r="EQ660" s="8"/>
      <c r="ER660" s="8"/>
      <c r="ES660" s="8"/>
      <c r="ET660" s="8"/>
      <c r="EU660" s="8"/>
      <c r="EV660" s="8"/>
      <c r="EW660" s="8"/>
      <c r="EX660" s="8"/>
      <c r="EY660" s="8"/>
      <c r="EZ660" s="8"/>
      <c r="FA660" s="8"/>
      <c r="FB660" s="8"/>
      <c r="FC660" s="8"/>
      <c r="FD660" s="8"/>
      <c r="FE660" s="8"/>
      <c r="FF660" s="8"/>
      <c r="FG660" s="8"/>
      <c r="FH660" s="8"/>
      <c r="FI660" s="8"/>
      <c r="FJ660" s="8"/>
      <c r="FK660" s="8"/>
      <c r="FL660" s="8"/>
      <c r="FM660" s="8"/>
      <c r="FN660" s="8"/>
      <c r="FO660" s="8"/>
      <c r="FP660" s="8"/>
      <c r="FQ660" s="8"/>
      <c r="FR660" s="8"/>
      <c r="FS660" s="8"/>
      <c r="FT660" s="8"/>
      <c r="FU660" s="8"/>
      <c r="FV660" s="8"/>
      <c r="FW660" s="8"/>
      <c r="FX660" s="8"/>
      <c r="FY660" s="8"/>
      <c r="FZ660" s="8"/>
      <c r="GA660" s="8"/>
      <c r="GB660" s="8"/>
      <c r="GC660" s="8"/>
      <c r="GD660" s="8"/>
      <c r="GE660" s="8"/>
      <c r="GF660" s="8"/>
      <c r="GG660" s="8"/>
      <c r="GH660" s="8"/>
      <c r="GI660" s="8"/>
      <c r="GJ660" s="8"/>
      <c r="GK660" s="8"/>
      <c r="GL660" s="8"/>
      <c r="GM660" s="8"/>
      <c r="GN660" s="8"/>
      <c r="GO660" s="8"/>
      <c r="GP660" s="8"/>
      <c r="GQ660" s="8"/>
      <c r="GR660" s="8"/>
      <c r="GS660" s="8"/>
      <c r="GT660" s="8"/>
      <c r="GU660" s="8"/>
      <c r="GV660" s="8"/>
      <c r="GW660" s="8"/>
      <c r="GX660" s="8"/>
      <c r="GY660" s="8"/>
      <c r="GZ660" s="8"/>
      <c r="HA660" s="8"/>
      <c r="HB660" s="8"/>
      <c r="HC660" s="8"/>
      <c r="HD660" s="8"/>
      <c r="HE660" s="8"/>
      <c r="HF660" s="8"/>
      <c r="HG660" s="8"/>
      <c r="HH660" s="8"/>
      <c r="HI660" s="8"/>
      <c r="HJ660" s="8"/>
      <c r="HK660" s="8"/>
      <c r="HL660" s="8"/>
      <c r="HM660" s="8"/>
      <c r="HN660" s="8"/>
      <c r="HO660" s="8"/>
      <c r="HP660" s="8"/>
      <c r="HQ660" s="8"/>
      <c r="HR660" s="8"/>
      <c r="HS660" s="8"/>
      <c r="HT660" s="8"/>
      <c r="HU660" s="8"/>
      <c r="HV660" s="8"/>
      <c r="HW660" s="8"/>
      <c r="HX660" s="8"/>
      <c r="HY660" s="8"/>
      <c r="HZ660" s="8"/>
      <c r="IA660" s="8"/>
      <c r="IB660" s="8"/>
      <c r="IC660" s="8"/>
      <c r="ID660" s="8"/>
    </row>
    <row r="661" spans="5:23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c r="CB661" s="8"/>
      <c r="CC661" s="8"/>
      <c r="CD661" s="8"/>
      <c r="CE661" s="8"/>
      <c r="CF661" s="8"/>
      <c r="CG661" s="8"/>
      <c r="CH661" s="8"/>
      <c r="CI661" s="8"/>
      <c r="CJ661" s="8"/>
      <c r="CK661" s="8"/>
      <c r="CL661" s="8"/>
      <c r="CM661" s="8"/>
      <c r="CN661" s="8"/>
      <c r="CO661" s="8"/>
      <c r="CP661" s="8"/>
      <c r="CQ661" s="8"/>
      <c r="CR661" s="8"/>
      <c r="CS661" s="8"/>
      <c r="CT661" s="8"/>
      <c r="CU661" s="8"/>
      <c r="CV661" s="8"/>
      <c r="CW661" s="8"/>
      <c r="CX661" s="8"/>
      <c r="CY661" s="8"/>
      <c r="CZ661" s="8"/>
      <c r="DA661" s="8"/>
      <c r="DB661" s="8"/>
      <c r="DC661" s="8"/>
      <c r="DD661" s="8"/>
      <c r="DE661" s="8"/>
      <c r="DF661" s="8"/>
      <c r="DG661" s="8"/>
      <c r="DH661" s="8"/>
      <c r="DI661" s="8"/>
      <c r="DJ661" s="8"/>
      <c r="DK661" s="8"/>
      <c r="DL661" s="8"/>
      <c r="DM661" s="8"/>
      <c r="DN661" s="8"/>
      <c r="DO661" s="8"/>
      <c r="DP661" s="8"/>
      <c r="DQ661" s="8"/>
      <c r="DR661" s="8"/>
      <c r="DS661" s="8"/>
      <c r="DT661" s="8"/>
      <c r="DU661" s="8"/>
      <c r="DV661" s="8"/>
      <c r="DW661" s="8"/>
      <c r="DX661" s="8"/>
      <c r="DY661" s="8"/>
      <c r="DZ661" s="8"/>
      <c r="EA661" s="8"/>
      <c r="EB661" s="8"/>
      <c r="EC661" s="8"/>
      <c r="ED661" s="8"/>
      <c r="EE661" s="8"/>
      <c r="EF661" s="8"/>
      <c r="EG661" s="8"/>
      <c r="EH661" s="8"/>
      <c r="EI661" s="8"/>
      <c r="EJ661" s="8"/>
      <c r="EK661" s="8"/>
      <c r="EL661" s="8"/>
      <c r="EM661" s="8"/>
      <c r="EN661" s="8"/>
      <c r="EO661" s="8"/>
      <c r="EP661" s="8"/>
      <c r="EQ661" s="8"/>
      <c r="ER661" s="8"/>
      <c r="ES661" s="8"/>
      <c r="ET661" s="8"/>
      <c r="EU661" s="8"/>
      <c r="EV661" s="8"/>
      <c r="EW661" s="8"/>
      <c r="EX661" s="8"/>
      <c r="EY661" s="8"/>
      <c r="EZ661" s="8"/>
      <c r="FA661" s="8"/>
      <c r="FB661" s="8"/>
      <c r="FC661" s="8"/>
      <c r="FD661" s="8"/>
      <c r="FE661" s="8"/>
      <c r="FF661" s="8"/>
      <c r="FG661" s="8"/>
      <c r="FH661" s="8"/>
      <c r="FI661" s="8"/>
      <c r="FJ661" s="8"/>
      <c r="FK661" s="8"/>
      <c r="FL661" s="8"/>
      <c r="FM661" s="8"/>
      <c r="FN661" s="8"/>
      <c r="FO661" s="8"/>
      <c r="FP661" s="8"/>
      <c r="FQ661" s="8"/>
      <c r="FR661" s="8"/>
      <c r="FS661" s="8"/>
      <c r="FT661" s="8"/>
      <c r="FU661" s="8"/>
      <c r="FV661" s="8"/>
      <c r="FW661" s="8"/>
      <c r="FX661" s="8"/>
      <c r="FY661" s="8"/>
      <c r="FZ661" s="8"/>
      <c r="GA661" s="8"/>
      <c r="GB661" s="8"/>
      <c r="GC661" s="8"/>
      <c r="GD661" s="8"/>
      <c r="GE661" s="8"/>
      <c r="GF661" s="8"/>
      <c r="GG661" s="8"/>
      <c r="GH661" s="8"/>
      <c r="GI661" s="8"/>
      <c r="GJ661" s="8"/>
      <c r="GK661" s="8"/>
      <c r="GL661" s="8"/>
      <c r="GM661" s="8"/>
      <c r="GN661" s="8"/>
      <c r="GO661" s="8"/>
      <c r="GP661" s="8"/>
      <c r="GQ661" s="8"/>
      <c r="GR661" s="8"/>
      <c r="GS661" s="8"/>
      <c r="GT661" s="8"/>
      <c r="GU661" s="8"/>
      <c r="GV661" s="8"/>
      <c r="GW661" s="8"/>
      <c r="GX661" s="8"/>
      <c r="GY661" s="8"/>
      <c r="GZ661" s="8"/>
      <c r="HA661" s="8"/>
      <c r="HB661" s="8"/>
      <c r="HC661" s="8"/>
      <c r="HD661" s="8"/>
      <c r="HE661" s="8"/>
      <c r="HF661" s="8"/>
      <c r="HG661" s="8"/>
      <c r="HH661" s="8"/>
      <c r="HI661" s="8"/>
      <c r="HJ661" s="8"/>
      <c r="HK661" s="8"/>
      <c r="HL661" s="8"/>
      <c r="HM661" s="8"/>
      <c r="HN661" s="8"/>
      <c r="HO661" s="8"/>
      <c r="HP661" s="8"/>
      <c r="HQ661" s="8"/>
      <c r="HR661" s="8"/>
      <c r="HS661" s="8"/>
      <c r="HT661" s="8"/>
      <c r="HU661" s="8"/>
      <c r="HV661" s="8"/>
      <c r="HW661" s="8"/>
      <c r="HX661" s="8"/>
      <c r="HY661" s="8"/>
      <c r="HZ661" s="8"/>
      <c r="IA661" s="8"/>
      <c r="IB661" s="8"/>
      <c r="IC661" s="8"/>
      <c r="ID661" s="8"/>
    </row>
    <row r="662" spans="5:23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c r="CB662" s="8"/>
      <c r="CC662" s="8"/>
      <c r="CD662" s="8"/>
      <c r="CE662" s="8"/>
      <c r="CF662" s="8"/>
      <c r="CG662" s="8"/>
      <c r="CH662" s="8"/>
      <c r="CI662" s="8"/>
      <c r="CJ662" s="8"/>
      <c r="CK662" s="8"/>
      <c r="CL662" s="8"/>
      <c r="CM662" s="8"/>
      <c r="CN662" s="8"/>
      <c r="CO662" s="8"/>
      <c r="CP662" s="8"/>
      <c r="CQ662" s="8"/>
      <c r="CR662" s="8"/>
      <c r="CS662" s="8"/>
      <c r="CT662" s="8"/>
      <c r="CU662" s="8"/>
      <c r="CV662" s="8"/>
      <c r="CW662" s="8"/>
      <c r="CX662" s="8"/>
      <c r="CY662" s="8"/>
      <c r="CZ662" s="8"/>
      <c r="DA662" s="8"/>
      <c r="DB662" s="8"/>
      <c r="DC662" s="8"/>
      <c r="DD662" s="8"/>
      <c r="DE662" s="8"/>
      <c r="DF662" s="8"/>
      <c r="DG662" s="8"/>
      <c r="DH662" s="8"/>
      <c r="DI662" s="8"/>
      <c r="DJ662" s="8"/>
      <c r="DK662" s="8"/>
      <c r="DL662" s="8"/>
      <c r="DM662" s="8"/>
      <c r="DN662" s="8"/>
      <c r="DO662" s="8"/>
      <c r="DP662" s="8"/>
      <c r="DQ662" s="8"/>
      <c r="DR662" s="8"/>
      <c r="DS662" s="8"/>
      <c r="DT662" s="8"/>
      <c r="DU662" s="8"/>
      <c r="DV662" s="8"/>
      <c r="DW662" s="8"/>
      <c r="DX662" s="8"/>
      <c r="DY662" s="8"/>
      <c r="DZ662" s="8"/>
      <c r="EA662" s="8"/>
      <c r="EB662" s="8"/>
      <c r="EC662" s="8"/>
      <c r="ED662" s="8"/>
      <c r="EE662" s="8"/>
      <c r="EF662" s="8"/>
      <c r="EG662" s="8"/>
      <c r="EH662" s="8"/>
      <c r="EI662" s="8"/>
      <c r="EJ662" s="8"/>
      <c r="EK662" s="8"/>
      <c r="EL662" s="8"/>
      <c r="EM662" s="8"/>
      <c r="EN662" s="8"/>
      <c r="EO662" s="8"/>
      <c r="EP662" s="8"/>
      <c r="EQ662" s="8"/>
      <c r="ER662" s="8"/>
      <c r="ES662" s="8"/>
      <c r="ET662" s="8"/>
      <c r="EU662" s="8"/>
      <c r="EV662" s="8"/>
      <c r="EW662" s="8"/>
      <c r="EX662" s="8"/>
      <c r="EY662" s="8"/>
      <c r="EZ662" s="8"/>
      <c r="FA662" s="8"/>
      <c r="FB662" s="8"/>
      <c r="FC662" s="8"/>
      <c r="FD662" s="8"/>
      <c r="FE662" s="8"/>
      <c r="FF662" s="8"/>
      <c r="FG662" s="8"/>
      <c r="FH662" s="8"/>
      <c r="FI662" s="8"/>
      <c r="FJ662" s="8"/>
      <c r="FK662" s="8"/>
      <c r="FL662" s="8"/>
      <c r="FM662" s="8"/>
      <c r="FN662" s="8"/>
      <c r="FO662" s="8"/>
      <c r="FP662" s="8"/>
      <c r="FQ662" s="8"/>
      <c r="FR662" s="8"/>
      <c r="FS662" s="8"/>
      <c r="FT662" s="8"/>
      <c r="FU662" s="8"/>
      <c r="FV662" s="8"/>
      <c r="FW662" s="8"/>
      <c r="FX662" s="8"/>
      <c r="FY662" s="8"/>
      <c r="FZ662" s="8"/>
      <c r="GA662" s="8"/>
      <c r="GB662" s="8"/>
      <c r="GC662" s="8"/>
      <c r="GD662" s="8"/>
      <c r="GE662" s="8"/>
      <c r="GF662" s="8"/>
      <c r="GG662" s="8"/>
      <c r="GH662" s="8"/>
      <c r="GI662" s="8"/>
      <c r="GJ662" s="8"/>
      <c r="GK662" s="8"/>
      <c r="GL662" s="8"/>
      <c r="GM662" s="8"/>
      <c r="GN662" s="8"/>
      <c r="GO662" s="8"/>
      <c r="GP662" s="8"/>
      <c r="GQ662" s="8"/>
      <c r="GR662" s="8"/>
      <c r="GS662" s="8"/>
      <c r="GT662" s="8"/>
      <c r="GU662" s="8"/>
      <c r="GV662" s="8"/>
      <c r="GW662" s="8"/>
      <c r="GX662" s="8"/>
      <c r="GY662" s="8"/>
      <c r="GZ662" s="8"/>
      <c r="HA662" s="8"/>
      <c r="HB662" s="8"/>
      <c r="HC662" s="8"/>
      <c r="HD662" s="8"/>
      <c r="HE662" s="8"/>
      <c r="HF662" s="8"/>
      <c r="HG662" s="8"/>
      <c r="HH662" s="8"/>
      <c r="HI662" s="8"/>
      <c r="HJ662" s="8"/>
      <c r="HK662" s="8"/>
      <c r="HL662" s="8"/>
      <c r="HM662" s="8"/>
      <c r="HN662" s="8"/>
      <c r="HO662" s="8"/>
      <c r="HP662" s="8"/>
      <c r="HQ662" s="8"/>
      <c r="HR662" s="8"/>
      <c r="HS662" s="8"/>
      <c r="HT662" s="8"/>
      <c r="HU662" s="8"/>
      <c r="HV662" s="8"/>
      <c r="HW662" s="8"/>
      <c r="HX662" s="8"/>
      <c r="HY662" s="8"/>
      <c r="HZ662" s="8"/>
      <c r="IA662" s="8"/>
      <c r="IB662" s="8"/>
      <c r="IC662" s="8"/>
      <c r="ID662" s="8"/>
    </row>
    <row r="663" spans="5:23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c r="CB663" s="8"/>
      <c r="CC663" s="8"/>
      <c r="CD663" s="8"/>
      <c r="CE663" s="8"/>
      <c r="CF663" s="8"/>
      <c r="CG663" s="8"/>
      <c r="CH663" s="8"/>
      <c r="CI663" s="8"/>
      <c r="CJ663" s="8"/>
      <c r="CK663" s="8"/>
      <c r="CL663" s="8"/>
      <c r="CM663" s="8"/>
      <c r="CN663" s="8"/>
      <c r="CO663" s="8"/>
      <c r="CP663" s="8"/>
      <c r="CQ663" s="8"/>
      <c r="CR663" s="8"/>
      <c r="CS663" s="8"/>
      <c r="CT663" s="8"/>
      <c r="CU663" s="8"/>
      <c r="CV663" s="8"/>
      <c r="CW663" s="8"/>
      <c r="CX663" s="8"/>
      <c r="CY663" s="8"/>
      <c r="CZ663" s="8"/>
      <c r="DA663" s="8"/>
      <c r="DB663" s="8"/>
      <c r="DC663" s="8"/>
      <c r="DD663" s="8"/>
      <c r="DE663" s="8"/>
      <c r="DF663" s="8"/>
      <c r="DG663" s="8"/>
      <c r="DH663" s="8"/>
      <c r="DI663" s="8"/>
      <c r="DJ663" s="8"/>
      <c r="DK663" s="8"/>
      <c r="DL663" s="8"/>
      <c r="DM663" s="8"/>
      <c r="DN663" s="8"/>
      <c r="DO663" s="8"/>
      <c r="DP663" s="8"/>
      <c r="DQ663" s="8"/>
      <c r="DR663" s="8"/>
      <c r="DS663" s="8"/>
      <c r="DT663" s="8"/>
      <c r="DU663" s="8"/>
      <c r="DV663" s="8"/>
      <c r="DW663" s="8"/>
      <c r="DX663" s="8"/>
      <c r="DY663" s="8"/>
      <c r="DZ663" s="8"/>
      <c r="EA663" s="8"/>
      <c r="EB663" s="8"/>
      <c r="EC663" s="8"/>
      <c r="ED663" s="8"/>
      <c r="EE663" s="8"/>
      <c r="EF663" s="8"/>
      <c r="EG663" s="8"/>
      <c r="EH663" s="8"/>
      <c r="EI663" s="8"/>
      <c r="EJ663" s="8"/>
      <c r="EK663" s="8"/>
      <c r="EL663" s="8"/>
      <c r="EM663" s="8"/>
      <c r="EN663" s="8"/>
      <c r="EO663" s="8"/>
      <c r="EP663" s="8"/>
      <c r="EQ663" s="8"/>
      <c r="ER663" s="8"/>
      <c r="ES663" s="8"/>
      <c r="ET663" s="8"/>
      <c r="EU663" s="8"/>
      <c r="EV663" s="8"/>
      <c r="EW663" s="8"/>
      <c r="EX663" s="8"/>
      <c r="EY663" s="8"/>
      <c r="EZ663" s="8"/>
      <c r="FA663" s="8"/>
      <c r="FB663" s="8"/>
      <c r="FC663" s="8"/>
      <c r="FD663" s="8"/>
      <c r="FE663" s="8"/>
      <c r="FF663" s="8"/>
      <c r="FG663" s="8"/>
      <c r="FH663" s="8"/>
      <c r="FI663" s="8"/>
      <c r="FJ663" s="8"/>
      <c r="FK663" s="8"/>
      <c r="FL663" s="8"/>
      <c r="FM663" s="8"/>
      <c r="FN663" s="8"/>
      <c r="FO663" s="8"/>
      <c r="FP663" s="8"/>
      <c r="FQ663" s="8"/>
      <c r="FR663" s="8"/>
      <c r="FS663" s="8"/>
      <c r="FT663" s="8"/>
      <c r="FU663" s="8"/>
      <c r="FV663" s="8"/>
      <c r="FW663" s="8"/>
      <c r="FX663" s="8"/>
      <c r="FY663" s="8"/>
      <c r="FZ663" s="8"/>
      <c r="GA663" s="8"/>
      <c r="GB663" s="8"/>
      <c r="GC663" s="8"/>
      <c r="GD663" s="8"/>
      <c r="GE663" s="8"/>
      <c r="GF663" s="8"/>
      <c r="GG663" s="8"/>
      <c r="GH663" s="8"/>
      <c r="GI663" s="8"/>
      <c r="GJ663" s="8"/>
      <c r="GK663" s="8"/>
      <c r="GL663" s="8"/>
      <c r="GM663" s="8"/>
      <c r="GN663" s="8"/>
      <c r="GO663" s="8"/>
      <c r="GP663" s="8"/>
      <c r="GQ663" s="8"/>
      <c r="GR663" s="8"/>
      <c r="GS663" s="8"/>
      <c r="GT663" s="8"/>
      <c r="GU663" s="8"/>
      <c r="GV663" s="8"/>
      <c r="GW663" s="8"/>
      <c r="GX663" s="8"/>
      <c r="GY663" s="8"/>
      <c r="GZ663" s="8"/>
      <c r="HA663" s="8"/>
      <c r="HB663" s="8"/>
      <c r="HC663" s="8"/>
      <c r="HD663" s="8"/>
      <c r="HE663" s="8"/>
      <c r="HF663" s="8"/>
      <c r="HG663" s="8"/>
      <c r="HH663" s="8"/>
      <c r="HI663" s="8"/>
      <c r="HJ663" s="8"/>
      <c r="HK663" s="8"/>
      <c r="HL663" s="8"/>
      <c r="HM663" s="8"/>
      <c r="HN663" s="8"/>
      <c r="HO663" s="8"/>
      <c r="HP663" s="8"/>
      <c r="HQ663" s="8"/>
      <c r="HR663" s="8"/>
      <c r="HS663" s="8"/>
      <c r="HT663" s="8"/>
      <c r="HU663" s="8"/>
      <c r="HV663" s="8"/>
      <c r="HW663" s="8"/>
      <c r="HX663" s="8"/>
      <c r="HY663" s="8"/>
      <c r="HZ663" s="8"/>
      <c r="IA663" s="8"/>
      <c r="IB663" s="8"/>
      <c r="IC663" s="8"/>
      <c r="ID663" s="8"/>
    </row>
    <row r="664" spans="5:23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c r="CB664" s="8"/>
      <c r="CC664" s="8"/>
      <c r="CD664" s="8"/>
      <c r="CE664" s="8"/>
      <c r="CF664" s="8"/>
      <c r="CG664" s="8"/>
      <c r="CH664" s="8"/>
      <c r="CI664" s="8"/>
      <c r="CJ664" s="8"/>
      <c r="CK664" s="8"/>
      <c r="CL664" s="8"/>
      <c r="CM664" s="8"/>
      <c r="CN664" s="8"/>
      <c r="CO664" s="8"/>
      <c r="CP664" s="8"/>
      <c r="CQ664" s="8"/>
      <c r="CR664" s="8"/>
      <c r="CS664" s="8"/>
      <c r="CT664" s="8"/>
      <c r="CU664" s="8"/>
      <c r="CV664" s="8"/>
      <c r="CW664" s="8"/>
      <c r="CX664" s="8"/>
      <c r="CY664" s="8"/>
      <c r="CZ664" s="8"/>
      <c r="DA664" s="8"/>
      <c r="DB664" s="8"/>
      <c r="DC664" s="8"/>
      <c r="DD664" s="8"/>
      <c r="DE664" s="8"/>
      <c r="DF664" s="8"/>
      <c r="DG664" s="8"/>
      <c r="DH664" s="8"/>
      <c r="DI664" s="8"/>
      <c r="DJ664" s="8"/>
      <c r="DK664" s="8"/>
      <c r="DL664" s="8"/>
      <c r="DM664" s="8"/>
      <c r="DN664" s="8"/>
      <c r="DO664" s="8"/>
      <c r="DP664" s="8"/>
      <c r="DQ664" s="8"/>
      <c r="DR664" s="8"/>
      <c r="DS664" s="8"/>
      <c r="DT664" s="8"/>
      <c r="DU664" s="8"/>
      <c r="DV664" s="8"/>
      <c r="DW664" s="8"/>
      <c r="DX664" s="8"/>
      <c r="DY664" s="8"/>
      <c r="DZ664" s="8"/>
      <c r="EA664" s="8"/>
      <c r="EB664" s="8"/>
      <c r="EC664" s="8"/>
      <c r="ED664" s="8"/>
      <c r="EE664" s="8"/>
      <c r="EF664" s="8"/>
      <c r="EG664" s="8"/>
      <c r="EH664" s="8"/>
      <c r="EI664" s="8"/>
      <c r="EJ664" s="8"/>
      <c r="EK664" s="8"/>
      <c r="EL664" s="8"/>
      <c r="EM664" s="8"/>
      <c r="EN664" s="8"/>
      <c r="EO664" s="8"/>
      <c r="EP664" s="8"/>
      <c r="EQ664" s="8"/>
      <c r="ER664" s="8"/>
      <c r="ES664" s="8"/>
      <c r="ET664" s="8"/>
      <c r="EU664" s="8"/>
      <c r="EV664" s="8"/>
      <c r="EW664" s="8"/>
      <c r="EX664" s="8"/>
      <c r="EY664" s="8"/>
      <c r="EZ664" s="8"/>
      <c r="FA664" s="8"/>
      <c r="FB664" s="8"/>
      <c r="FC664" s="8"/>
      <c r="FD664" s="8"/>
      <c r="FE664" s="8"/>
      <c r="FF664" s="8"/>
      <c r="FG664" s="8"/>
      <c r="FH664" s="8"/>
      <c r="FI664" s="8"/>
      <c r="FJ664" s="8"/>
      <c r="FK664" s="8"/>
      <c r="FL664" s="8"/>
      <c r="FM664" s="8"/>
      <c r="FN664" s="8"/>
      <c r="FO664" s="8"/>
      <c r="FP664" s="8"/>
      <c r="FQ664" s="8"/>
      <c r="FR664" s="8"/>
      <c r="FS664" s="8"/>
      <c r="FT664" s="8"/>
      <c r="FU664" s="8"/>
      <c r="FV664" s="8"/>
      <c r="FW664" s="8"/>
      <c r="FX664" s="8"/>
      <c r="FY664" s="8"/>
      <c r="FZ664" s="8"/>
      <c r="GA664" s="8"/>
      <c r="GB664" s="8"/>
      <c r="GC664" s="8"/>
      <c r="GD664" s="8"/>
      <c r="GE664" s="8"/>
      <c r="GF664" s="8"/>
      <c r="GG664" s="8"/>
      <c r="GH664" s="8"/>
      <c r="GI664" s="8"/>
      <c r="GJ664" s="8"/>
      <c r="GK664" s="8"/>
      <c r="GL664" s="8"/>
      <c r="GM664" s="8"/>
      <c r="GN664" s="8"/>
      <c r="GO664" s="8"/>
      <c r="GP664" s="8"/>
      <c r="GQ664" s="8"/>
      <c r="GR664" s="8"/>
      <c r="GS664" s="8"/>
      <c r="GT664" s="8"/>
      <c r="GU664" s="8"/>
      <c r="GV664" s="8"/>
      <c r="GW664" s="8"/>
      <c r="GX664" s="8"/>
      <c r="GY664" s="8"/>
      <c r="GZ664" s="8"/>
      <c r="HA664" s="8"/>
      <c r="HB664" s="8"/>
      <c r="HC664" s="8"/>
      <c r="HD664" s="8"/>
      <c r="HE664" s="8"/>
      <c r="HF664" s="8"/>
      <c r="HG664" s="8"/>
      <c r="HH664" s="8"/>
      <c r="HI664" s="8"/>
      <c r="HJ664" s="8"/>
      <c r="HK664" s="8"/>
      <c r="HL664" s="8"/>
      <c r="HM664" s="8"/>
      <c r="HN664" s="8"/>
      <c r="HO664" s="8"/>
      <c r="HP664" s="8"/>
      <c r="HQ664" s="8"/>
      <c r="HR664" s="8"/>
      <c r="HS664" s="8"/>
      <c r="HT664" s="8"/>
      <c r="HU664" s="8"/>
      <c r="HV664" s="8"/>
      <c r="HW664" s="8"/>
      <c r="HX664" s="8"/>
      <c r="HY664" s="8"/>
      <c r="HZ664" s="8"/>
      <c r="IA664" s="8"/>
      <c r="IB664" s="8"/>
      <c r="IC664" s="8"/>
      <c r="ID664" s="8"/>
    </row>
    <row r="665" spans="5:23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c r="CB665" s="8"/>
      <c r="CC665" s="8"/>
      <c r="CD665" s="8"/>
      <c r="CE665" s="8"/>
      <c r="CF665" s="8"/>
      <c r="CG665" s="8"/>
      <c r="CH665" s="8"/>
      <c r="CI665" s="8"/>
      <c r="CJ665" s="8"/>
      <c r="CK665" s="8"/>
      <c r="CL665" s="8"/>
      <c r="CM665" s="8"/>
      <c r="CN665" s="8"/>
      <c r="CO665" s="8"/>
      <c r="CP665" s="8"/>
      <c r="CQ665" s="8"/>
      <c r="CR665" s="8"/>
      <c r="CS665" s="8"/>
      <c r="CT665" s="8"/>
      <c r="CU665" s="8"/>
      <c r="CV665" s="8"/>
      <c r="CW665" s="8"/>
      <c r="CX665" s="8"/>
      <c r="CY665" s="8"/>
      <c r="CZ665" s="8"/>
      <c r="DA665" s="8"/>
      <c r="DB665" s="8"/>
      <c r="DC665" s="8"/>
      <c r="DD665" s="8"/>
      <c r="DE665" s="8"/>
      <c r="DF665" s="8"/>
      <c r="DG665" s="8"/>
      <c r="DH665" s="8"/>
      <c r="DI665" s="8"/>
      <c r="DJ665" s="8"/>
      <c r="DK665" s="8"/>
      <c r="DL665" s="8"/>
      <c r="DM665" s="8"/>
      <c r="DN665" s="8"/>
      <c r="DO665" s="8"/>
      <c r="DP665" s="8"/>
      <c r="DQ665" s="8"/>
      <c r="DR665" s="8"/>
      <c r="DS665" s="8"/>
      <c r="DT665" s="8"/>
      <c r="DU665" s="8"/>
      <c r="DV665" s="8"/>
      <c r="DW665" s="8"/>
      <c r="DX665" s="8"/>
      <c r="DY665" s="8"/>
      <c r="DZ665" s="8"/>
      <c r="EA665" s="8"/>
      <c r="EB665" s="8"/>
      <c r="EC665" s="8"/>
      <c r="ED665" s="8"/>
      <c r="EE665" s="8"/>
      <c r="EF665" s="8"/>
      <c r="EG665" s="8"/>
      <c r="EH665" s="8"/>
      <c r="EI665" s="8"/>
      <c r="EJ665" s="8"/>
      <c r="EK665" s="8"/>
      <c r="EL665" s="8"/>
      <c r="EM665" s="8"/>
      <c r="EN665" s="8"/>
      <c r="EO665" s="8"/>
      <c r="EP665" s="8"/>
      <c r="EQ665" s="8"/>
      <c r="ER665" s="8"/>
      <c r="ES665" s="8"/>
      <c r="ET665" s="8"/>
      <c r="EU665" s="8"/>
      <c r="EV665" s="8"/>
      <c r="EW665" s="8"/>
      <c r="EX665" s="8"/>
      <c r="EY665" s="8"/>
      <c r="EZ665" s="8"/>
      <c r="FA665" s="8"/>
      <c r="FB665" s="8"/>
      <c r="FC665" s="8"/>
      <c r="FD665" s="8"/>
      <c r="FE665" s="8"/>
      <c r="FF665" s="8"/>
      <c r="FG665" s="8"/>
      <c r="FH665" s="8"/>
      <c r="FI665" s="8"/>
      <c r="FJ665" s="8"/>
      <c r="FK665" s="8"/>
      <c r="FL665" s="8"/>
      <c r="FM665" s="8"/>
      <c r="FN665" s="8"/>
      <c r="FO665" s="8"/>
      <c r="FP665" s="8"/>
      <c r="FQ665" s="8"/>
      <c r="FR665" s="8"/>
      <c r="FS665" s="8"/>
      <c r="FT665" s="8"/>
      <c r="FU665" s="8"/>
      <c r="FV665" s="8"/>
      <c r="FW665" s="8"/>
      <c r="FX665" s="8"/>
      <c r="FY665" s="8"/>
      <c r="FZ665" s="8"/>
      <c r="GA665" s="8"/>
      <c r="GB665" s="8"/>
      <c r="GC665" s="8"/>
      <c r="GD665" s="8"/>
      <c r="GE665" s="8"/>
      <c r="GF665" s="8"/>
      <c r="GG665" s="8"/>
      <c r="GH665" s="8"/>
      <c r="GI665" s="8"/>
      <c r="GJ665" s="8"/>
      <c r="GK665" s="8"/>
      <c r="GL665" s="8"/>
      <c r="GM665" s="8"/>
      <c r="GN665" s="8"/>
      <c r="GO665" s="8"/>
      <c r="GP665" s="8"/>
      <c r="GQ665" s="8"/>
      <c r="GR665" s="8"/>
      <c r="GS665" s="8"/>
      <c r="GT665" s="8"/>
      <c r="GU665" s="8"/>
      <c r="GV665" s="8"/>
      <c r="GW665" s="8"/>
      <c r="GX665" s="8"/>
      <c r="GY665" s="8"/>
      <c r="GZ665" s="8"/>
      <c r="HA665" s="8"/>
      <c r="HB665" s="8"/>
      <c r="HC665" s="8"/>
      <c r="HD665" s="8"/>
      <c r="HE665" s="8"/>
      <c r="HF665" s="8"/>
      <c r="HG665" s="8"/>
      <c r="HH665" s="8"/>
      <c r="HI665" s="8"/>
      <c r="HJ665" s="8"/>
      <c r="HK665" s="8"/>
      <c r="HL665" s="8"/>
      <c r="HM665" s="8"/>
      <c r="HN665" s="8"/>
      <c r="HO665" s="8"/>
      <c r="HP665" s="8"/>
      <c r="HQ665" s="8"/>
      <c r="HR665" s="8"/>
      <c r="HS665" s="8"/>
      <c r="HT665" s="8"/>
      <c r="HU665" s="8"/>
      <c r="HV665" s="8"/>
      <c r="HW665" s="8"/>
      <c r="HX665" s="8"/>
      <c r="HY665" s="8"/>
      <c r="HZ665" s="8"/>
      <c r="IA665" s="8"/>
      <c r="IB665" s="8"/>
      <c r="IC665" s="8"/>
      <c r="ID665" s="8"/>
    </row>
    <row r="666" spans="5:23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c r="CB666" s="8"/>
      <c r="CC666" s="8"/>
      <c r="CD666" s="8"/>
      <c r="CE666" s="8"/>
      <c r="CF666" s="8"/>
      <c r="CG666" s="8"/>
      <c r="CH666" s="8"/>
      <c r="CI666" s="8"/>
      <c r="CJ666" s="8"/>
      <c r="CK666" s="8"/>
      <c r="CL666" s="8"/>
      <c r="CM666" s="8"/>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8"/>
      <c r="EE666" s="8"/>
      <c r="EF666" s="8"/>
      <c r="EG666" s="8"/>
      <c r="EH666" s="8"/>
      <c r="EI666" s="8"/>
      <c r="EJ666" s="8"/>
      <c r="EK666" s="8"/>
      <c r="EL666" s="8"/>
      <c r="EM666" s="8"/>
      <c r="EN666" s="8"/>
      <c r="EO666" s="8"/>
      <c r="EP666" s="8"/>
      <c r="EQ666" s="8"/>
      <c r="ER666" s="8"/>
      <c r="ES666" s="8"/>
      <c r="ET666" s="8"/>
      <c r="EU666" s="8"/>
      <c r="EV666" s="8"/>
      <c r="EW666" s="8"/>
      <c r="EX666" s="8"/>
      <c r="EY666" s="8"/>
      <c r="EZ666" s="8"/>
      <c r="FA666" s="8"/>
      <c r="FB666" s="8"/>
      <c r="FC666" s="8"/>
      <c r="FD666" s="8"/>
      <c r="FE666" s="8"/>
      <c r="FF666" s="8"/>
      <c r="FG666" s="8"/>
      <c r="FH666" s="8"/>
      <c r="FI666" s="8"/>
      <c r="FJ666" s="8"/>
      <c r="FK666" s="8"/>
      <c r="FL666" s="8"/>
      <c r="FM666" s="8"/>
      <c r="FN666" s="8"/>
      <c r="FO666" s="8"/>
      <c r="FP666" s="8"/>
      <c r="FQ666" s="8"/>
      <c r="FR666" s="8"/>
      <c r="FS666" s="8"/>
      <c r="FT666" s="8"/>
      <c r="FU666" s="8"/>
      <c r="FV666" s="8"/>
      <c r="FW666" s="8"/>
      <c r="FX666" s="8"/>
      <c r="FY666" s="8"/>
      <c r="FZ666" s="8"/>
      <c r="GA666" s="8"/>
      <c r="GB666" s="8"/>
      <c r="GC666" s="8"/>
      <c r="GD666" s="8"/>
      <c r="GE666" s="8"/>
      <c r="GF666" s="8"/>
      <c r="GG666" s="8"/>
      <c r="GH666" s="8"/>
      <c r="GI666" s="8"/>
      <c r="GJ666" s="8"/>
      <c r="GK666" s="8"/>
      <c r="GL666" s="8"/>
      <c r="GM666" s="8"/>
      <c r="GN666" s="8"/>
      <c r="GO666" s="8"/>
      <c r="GP666" s="8"/>
      <c r="GQ666" s="8"/>
      <c r="GR666" s="8"/>
      <c r="GS666" s="8"/>
      <c r="GT666" s="8"/>
      <c r="GU666" s="8"/>
      <c r="GV666" s="8"/>
      <c r="GW666" s="8"/>
      <c r="GX666" s="8"/>
      <c r="GY666" s="8"/>
      <c r="GZ666" s="8"/>
      <c r="HA666" s="8"/>
      <c r="HB666" s="8"/>
      <c r="HC666" s="8"/>
      <c r="HD666" s="8"/>
      <c r="HE666" s="8"/>
      <c r="HF666" s="8"/>
      <c r="HG666" s="8"/>
      <c r="HH666" s="8"/>
      <c r="HI666" s="8"/>
      <c r="HJ666" s="8"/>
      <c r="HK666" s="8"/>
      <c r="HL666" s="8"/>
      <c r="HM666" s="8"/>
      <c r="HN666" s="8"/>
      <c r="HO666" s="8"/>
      <c r="HP666" s="8"/>
      <c r="HQ666" s="8"/>
      <c r="HR666" s="8"/>
      <c r="HS666" s="8"/>
      <c r="HT666" s="8"/>
      <c r="HU666" s="8"/>
      <c r="HV666" s="8"/>
      <c r="HW666" s="8"/>
      <c r="HX666" s="8"/>
      <c r="HY666" s="8"/>
      <c r="HZ666" s="8"/>
      <c r="IA666" s="8"/>
      <c r="IB666" s="8"/>
      <c r="IC666" s="8"/>
      <c r="ID666" s="8"/>
    </row>
    <row r="667" spans="5:23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8"/>
      <c r="CG667" s="8"/>
      <c r="CH667" s="8"/>
      <c r="CI667" s="8"/>
      <c r="CJ667" s="8"/>
      <c r="CK667" s="8"/>
      <c r="CL667" s="8"/>
      <c r="CM667" s="8"/>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8"/>
      <c r="EE667" s="8"/>
      <c r="EF667" s="8"/>
      <c r="EG667" s="8"/>
      <c r="EH667" s="8"/>
      <c r="EI667" s="8"/>
      <c r="EJ667" s="8"/>
      <c r="EK667" s="8"/>
      <c r="EL667" s="8"/>
      <c r="EM667" s="8"/>
      <c r="EN667" s="8"/>
      <c r="EO667" s="8"/>
      <c r="EP667" s="8"/>
      <c r="EQ667" s="8"/>
      <c r="ER667" s="8"/>
      <c r="ES667" s="8"/>
      <c r="ET667" s="8"/>
      <c r="EU667" s="8"/>
      <c r="EV667" s="8"/>
      <c r="EW667" s="8"/>
      <c r="EX667" s="8"/>
      <c r="EY667" s="8"/>
      <c r="EZ667" s="8"/>
      <c r="FA667" s="8"/>
      <c r="FB667" s="8"/>
      <c r="FC667" s="8"/>
      <c r="FD667" s="8"/>
      <c r="FE667" s="8"/>
      <c r="FF667" s="8"/>
      <c r="FG667" s="8"/>
      <c r="FH667" s="8"/>
      <c r="FI667" s="8"/>
      <c r="FJ667" s="8"/>
      <c r="FK667" s="8"/>
      <c r="FL667" s="8"/>
      <c r="FM667" s="8"/>
      <c r="FN667" s="8"/>
      <c r="FO667" s="8"/>
      <c r="FP667" s="8"/>
      <c r="FQ667" s="8"/>
      <c r="FR667" s="8"/>
      <c r="FS667" s="8"/>
      <c r="FT667" s="8"/>
      <c r="FU667" s="8"/>
      <c r="FV667" s="8"/>
      <c r="FW667" s="8"/>
      <c r="FX667" s="8"/>
      <c r="FY667" s="8"/>
      <c r="FZ667" s="8"/>
      <c r="GA667" s="8"/>
      <c r="GB667" s="8"/>
      <c r="GC667" s="8"/>
      <c r="GD667" s="8"/>
      <c r="GE667" s="8"/>
      <c r="GF667" s="8"/>
      <c r="GG667" s="8"/>
      <c r="GH667" s="8"/>
      <c r="GI667" s="8"/>
      <c r="GJ667" s="8"/>
      <c r="GK667" s="8"/>
      <c r="GL667" s="8"/>
      <c r="GM667" s="8"/>
      <c r="GN667" s="8"/>
      <c r="GO667" s="8"/>
      <c r="GP667" s="8"/>
      <c r="GQ667" s="8"/>
      <c r="GR667" s="8"/>
      <c r="GS667" s="8"/>
      <c r="GT667" s="8"/>
      <c r="GU667" s="8"/>
      <c r="GV667" s="8"/>
      <c r="GW667" s="8"/>
      <c r="GX667" s="8"/>
      <c r="GY667" s="8"/>
      <c r="GZ667" s="8"/>
      <c r="HA667" s="8"/>
      <c r="HB667" s="8"/>
      <c r="HC667" s="8"/>
      <c r="HD667" s="8"/>
      <c r="HE667" s="8"/>
      <c r="HF667" s="8"/>
      <c r="HG667" s="8"/>
      <c r="HH667" s="8"/>
      <c r="HI667" s="8"/>
      <c r="HJ667" s="8"/>
      <c r="HK667" s="8"/>
      <c r="HL667" s="8"/>
      <c r="HM667" s="8"/>
      <c r="HN667" s="8"/>
      <c r="HO667" s="8"/>
      <c r="HP667" s="8"/>
      <c r="HQ667" s="8"/>
      <c r="HR667" s="8"/>
      <c r="HS667" s="8"/>
      <c r="HT667" s="8"/>
      <c r="HU667" s="8"/>
      <c r="HV667" s="8"/>
      <c r="HW667" s="8"/>
      <c r="HX667" s="8"/>
      <c r="HY667" s="8"/>
      <c r="HZ667" s="8"/>
      <c r="IA667" s="8"/>
      <c r="IB667" s="8"/>
      <c r="IC667" s="8"/>
      <c r="ID667" s="8"/>
    </row>
    <row r="668" spans="5:23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8"/>
      <c r="EE668" s="8"/>
      <c r="EF668" s="8"/>
      <c r="EG668" s="8"/>
      <c r="EH668" s="8"/>
      <c r="EI668" s="8"/>
      <c r="EJ668" s="8"/>
      <c r="EK668" s="8"/>
      <c r="EL668" s="8"/>
      <c r="EM668" s="8"/>
      <c r="EN668" s="8"/>
      <c r="EO668" s="8"/>
      <c r="EP668" s="8"/>
      <c r="EQ668" s="8"/>
      <c r="ER668" s="8"/>
      <c r="ES668" s="8"/>
      <c r="ET668" s="8"/>
      <c r="EU668" s="8"/>
      <c r="EV668" s="8"/>
      <c r="EW668" s="8"/>
      <c r="EX668" s="8"/>
      <c r="EY668" s="8"/>
      <c r="EZ668" s="8"/>
      <c r="FA668" s="8"/>
      <c r="FB668" s="8"/>
      <c r="FC668" s="8"/>
      <c r="FD668" s="8"/>
      <c r="FE668" s="8"/>
      <c r="FF668" s="8"/>
      <c r="FG668" s="8"/>
      <c r="FH668" s="8"/>
      <c r="FI668" s="8"/>
      <c r="FJ668" s="8"/>
      <c r="FK668" s="8"/>
      <c r="FL668" s="8"/>
      <c r="FM668" s="8"/>
      <c r="FN668" s="8"/>
      <c r="FO668" s="8"/>
      <c r="FP668" s="8"/>
      <c r="FQ668" s="8"/>
      <c r="FR668" s="8"/>
      <c r="FS668" s="8"/>
      <c r="FT668" s="8"/>
      <c r="FU668" s="8"/>
      <c r="FV668" s="8"/>
      <c r="FW668" s="8"/>
      <c r="FX668" s="8"/>
      <c r="FY668" s="8"/>
      <c r="FZ668" s="8"/>
      <c r="GA668" s="8"/>
      <c r="GB668" s="8"/>
      <c r="GC668" s="8"/>
      <c r="GD668" s="8"/>
      <c r="GE668" s="8"/>
      <c r="GF668" s="8"/>
      <c r="GG668" s="8"/>
      <c r="GH668" s="8"/>
      <c r="GI668" s="8"/>
      <c r="GJ668" s="8"/>
      <c r="GK668" s="8"/>
      <c r="GL668" s="8"/>
      <c r="GM668" s="8"/>
      <c r="GN668" s="8"/>
      <c r="GO668" s="8"/>
      <c r="GP668" s="8"/>
      <c r="GQ668" s="8"/>
      <c r="GR668" s="8"/>
      <c r="GS668" s="8"/>
      <c r="GT668" s="8"/>
      <c r="GU668" s="8"/>
      <c r="GV668" s="8"/>
      <c r="GW668" s="8"/>
      <c r="GX668" s="8"/>
      <c r="GY668" s="8"/>
      <c r="GZ668" s="8"/>
      <c r="HA668" s="8"/>
      <c r="HB668" s="8"/>
      <c r="HC668" s="8"/>
      <c r="HD668" s="8"/>
      <c r="HE668" s="8"/>
      <c r="HF668" s="8"/>
      <c r="HG668" s="8"/>
      <c r="HH668" s="8"/>
      <c r="HI668" s="8"/>
      <c r="HJ668" s="8"/>
      <c r="HK668" s="8"/>
      <c r="HL668" s="8"/>
      <c r="HM668" s="8"/>
      <c r="HN668" s="8"/>
      <c r="HO668" s="8"/>
      <c r="HP668" s="8"/>
      <c r="HQ668" s="8"/>
      <c r="HR668" s="8"/>
      <c r="HS668" s="8"/>
      <c r="HT668" s="8"/>
      <c r="HU668" s="8"/>
      <c r="HV668" s="8"/>
      <c r="HW668" s="8"/>
      <c r="HX668" s="8"/>
      <c r="HY668" s="8"/>
      <c r="HZ668" s="8"/>
      <c r="IA668" s="8"/>
      <c r="IB668" s="8"/>
      <c r="IC668" s="8"/>
      <c r="ID668" s="8"/>
    </row>
    <row r="669" spans="5:23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8"/>
      <c r="EE669" s="8"/>
      <c r="EF669" s="8"/>
      <c r="EG669" s="8"/>
      <c r="EH669" s="8"/>
      <c r="EI669" s="8"/>
      <c r="EJ669" s="8"/>
      <c r="EK669" s="8"/>
      <c r="EL669" s="8"/>
      <c r="EM669" s="8"/>
      <c r="EN669" s="8"/>
      <c r="EO669" s="8"/>
      <c r="EP669" s="8"/>
      <c r="EQ669" s="8"/>
      <c r="ER669" s="8"/>
      <c r="ES669" s="8"/>
      <c r="ET669" s="8"/>
      <c r="EU669" s="8"/>
      <c r="EV669" s="8"/>
      <c r="EW669" s="8"/>
      <c r="EX669" s="8"/>
      <c r="EY669" s="8"/>
      <c r="EZ669" s="8"/>
      <c r="FA669" s="8"/>
      <c r="FB669" s="8"/>
      <c r="FC669" s="8"/>
      <c r="FD669" s="8"/>
      <c r="FE669" s="8"/>
      <c r="FF669" s="8"/>
      <c r="FG669" s="8"/>
      <c r="FH669" s="8"/>
      <c r="FI669" s="8"/>
      <c r="FJ669" s="8"/>
      <c r="FK669" s="8"/>
      <c r="FL669" s="8"/>
      <c r="FM669" s="8"/>
      <c r="FN669" s="8"/>
      <c r="FO669" s="8"/>
      <c r="FP669" s="8"/>
      <c r="FQ669" s="8"/>
      <c r="FR669" s="8"/>
      <c r="FS669" s="8"/>
      <c r="FT669" s="8"/>
      <c r="FU669" s="8"/>
      <c r="FV669" s="8"/>
      <c r="FW669" s="8"/>
      <c r="FX669" s="8"/>
      <c r="FY669" s="8"/>
      <c r="FZ669" s="8"/>
      <c r="GA669" s="8"/>
      <c r="GB669" s="8"/>
      <c r="GC669" s="8"/>
      <c r="GD669" s="8"/>
      <c r="GE669" s="8"/>
      <c r="GF669" s="8"/>
      <c r="GG669" s="8"/>
      <c r="GH669" s="8"/>
      <c r="GI669" s="8"/>
      <c r="GJ669" s="8"/>
      <c r="GK669" s="8"/>
      <c r="GL669" s="8"/>
      <c r="GM669" s="8"/>
      <c r="GN669" s="8"/>
      <c r="GO669" s="8"/>
      <c r="GP669" s="8"/>
      <c r="GQ669" s="8"/>
      <c r="GR669" s="8"/>
      <c r="GS669" s="8"/>
      <c r="GT669" s="8"/>
      <c r="GU669" s="8"/>
      <c r="GV669" s="8"/>
      <c r="GW669" s="8"/>
      <c r="GX669" s="8"/>
      <c r="GY669" s="8"/>
      <c r="GZ669" s="8"/>
      <c r="HA669" s="8"/>
      <c r="HB669" s="8"/>
      <c r="HC669" s="8"/>
      <c r="HD669" s="8"/>
      <c r="HE669" s="8"/>
      <c r="HF669" s="8"/>
      <c r="HG669" s="8"/>
      <c r="HH669" s="8"/>
      <c r="HI669" s="8"/>
      <c r="HJ669" s="8"/>
      <c r="HK669" s="8"/>
      <c r="HL669" s="8"/>
      <c r="HM669" s="8"/>
      <c r="HN669" s="8"/>
      <c r="HO669" s="8"/>
      <c r="HP669" s="8"/>
      <c r="HQ669" s="8"/>
      <c r="HR669" s="8"/>
      <c r="HS669" s="8"/>
      <c r="HT669" s="8"/>
      <c r="HU669" s="8"/>
      <c r="HV669" s="8"/>
      <c r="HW669" s="8"/>
      <c r="HX669" s="8"/>
      <c r="HY669" s="8"/>
      <c r="HZ669" s="8"/>
      <c r="IA669" s="8"/>
      <c r="IB669" s="8"/>
      <c r="IC669" s="8"/>
      <c r="ID669" s="8"/>
    </row>
    <row r="670" spans="5:23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c r="CB670" s="8"/>
      <c r="CC670" s="8"/>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8"/>
      <c r="EE670" s="8"/>
      <c r="EF670" s="8"/>
      <c r="EG670" s="8"/>
      <c r="EH670" s="8"/>
      <c r="EI670" s="8"/>
      <c r="EJ670" s="8"/>
      <c r="EK670" s="8"/>
      <c r="EL670" s="8"/>
      <c r="EM670" s="8"/>
      <c r="EN670" s="8"/>
      <c r="EO670" s="8"/>
      <c r="EP670" s="8"/>
      <c r="EQ670" s="8"/>
      <c r="ER670" s="8"/>
      <c r="ES670" s="8"/>
      <c r="ET670" s="8"/>
      <c r="EU670" s="8"/>
      <c r="EV670" s="8"/>
      <c r="EW670" s="8"/>
      <c r="EX670" s="8"/>
      <c r="EY670" s="8"/>
      <c r="EZ670" s="8"/>
      <c r="FA670" s="8"/>
      <c r="FB670" s="8"/>
      <c r="FC670" s="8"/>
      <c r="FD670" s="8"/>
      <c r="FE670" s="8"/>
      <c r="FF670" s="8"/>
      <c r="FG670" s="8"/>
      <c r="FH670" s="8"/>
      <c r="FI670" s="8"/>
      <c r="FJ670" s="8"/>
      <c r="FK670" s="8"/>
      <c r="FL670" s="8"/>
      <c r="FM670" s="8"/>
      <c r="FN670" s="8"/>
      <c r="FO670" s="8"/>
      <c r="FP670" s="8"/>
      <c r="FQ670" s="8"/>
      <c r="FR670" s="8"/>
      <c r="FS670" s="8"/>
      <c r="FT670" s="8"/>
      <c r="FU670" s="8"/>
      <c r="FV670" s="8"/>
      <c r="FW670" s="8"/>
      <c r="FX670" s="8"/>
      <c r="FY670" s="8"/>
      <c r="FZ670" s="8"/>
      <c r="GA670" s="8"/>
      <c r="GB670" s="8"/>
      <c r="GC670" s="8"/>
      <c r="GD670" s="8"/>
      <c r="GE670" s="8"/>
      <c r="GF670" s="8"/>
      <c r="GG670" s="8"/>
      <c r="GH670" s="8"/>
      <c r="GI670" s="8"/>
      <c r="GJ670" s="8"/>
      <c r="GK670" s="8"/>
      <c r="GL670" s="8"/>
      <c r="GM670" s="8"/>
      <c r="GN670" s="8"/>
      <c r="GO670" s="8"/>
      <c r="GP670" s="8"/>
      <c r="GQ670" s="8"/>
      <c r="GR670" s="8"/>
      <c r="GS670" s="8"/>
      <c r="GT670" s="8"/>
      <c r="GU670" s="8"/>
      <c r="GV670" s="8"/>
      <c r="GW670" s="8"/>
      <c r="GX670" s="8"/>
      <c r="GY670" s="8"/>
      <c r="GZ670" s="8"/>
      <c r="HA670" s="8"/>
      <c r="HB670" s="8"/>
      <c r="HC670" s="8"/>
      <c r="HD670" s="8"/>
      <c r="HE670" s="8"/>
      <c r="HF670" s="8"/>
      <c r="HG670" s="8"/>
      <c r="HH670" s="8"/>
      <c r="HI670" s="8"/>
      <c r="HJ670" s="8"/>
      <c r="HK670" s="8"/>
      <c r="HL670" s="8"/>
      <c r="HM670" s="8"/>
      <c r="HN670" s="8"/>
      <c r="HO670" s="8"/>
      <c r="HP670" s="8"/>
      <c r="HQ670" s="8"/>
      <c r="HR670" s="8"/>
      <c r="HS670" s="8"/>
      <c r="HT670" s="8"/>
      <c r="HU670" s="8"/>
      <c r="HV670" s="8"/>
      <c r="HW670" s="8"/>
      <c r="HX670" s="8"/>
      <c r="HY670" s="8"/>
      <c r="HZ670" s="8"/>
      <c r="IA670" s="8"/>
      <c r="IB670" s="8"/>
      <c r="IC670" s="8"/>
      <c r="ID670" s="8"/>
    </row>
    <row r="671" spans="5:23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8"/>
      <c r="EE671" s="8"/>
      <c r="EF671" s="8"/>
      <c r="EG671" s="8"/>
      <c r="EH671" s="8"/>
      <c r="EI671" s="8"/>
      <c r="EJ671" s="8"/>
      <c r="EK671" s="8"/>
      <c r="EL671" s="8"/>
      <c r="EM671" s="8"/>
      <c r="EN671" s="8"/>
      <c r="EO671" s="8"/>
      <c r="EP671" s="8"/>
      <c r="EQ671" s="8"/>
      <c r="ER671" s="8"/>
      <c r="ES671" s="8"/>
      <c r="ET671" s="8"/>
      <c r="EU671" s="8"/>
      <c r="EV671" s="8"/>
      <c r="EW671" s="8"/>
      <c r="EX671" s="8"/>
      <c r="EY671" s="8"/>
      <c r="EZ671" s="8"/>
      <c r="FA671" s="8"/>
      <c r="FB671" s="8"/>
      <c r="FC671" s="8"/>
      <c r="FD671" s="8"/>
      <c r="FE671" s="8"/>
      <c r="FF671" s="8"/>
      <c r="FG671" s="8"/>
      <c r="FH671" s="8"/>
      <c r="FI671" s="8"/>
      <c r="FJ671" s="8"/>
      <c r="FK671" s="8"/>
      <c r="FL671" s="8"/>
      <c r="FM671" s="8"/>
      <c r="FN671" s="8"/>
      <c r="FO671" s="8"/>
      <c r="FP671" s="8"/>
      <c r="FQ671" s="8"/>
      <c r="FR671" s="8"/>
      <c r="FS671" s="8"/>
      <c r="FT671" s="8"/>
      <c r="FU671" s="8"/>
      <c r="FV671" s="8"/>
      <c r="FW671" s="8"/>
      <c r="FX671" s="8"/>
      <c r="FY671" s="8"/>
      <c r="FZ671" s="8"/>
      <c r="GA671" s="8"/>
      <c r="GB671" s="8"/>
      <c r="GC671" s="8"/>
      <c r="GD671" s="8"/>
      <c r="GE671" s="8"/>
      <c r="GF671" s="8"/>
      <c r="GG671" s="8"/>
      <c r="GH671" s="8"/>
      <c r="GI671" s="8"/>
      <c r="GJ671" s="8"/>
      <c r="GK671" s="8"/>
      <c r="GL671" s="8"/>
      <c r="GM671" s="8"/>
      <c r="GN671" s="8"/>
      <c r="GO671" s="8"/>
      <c r="GP671" s="8"/>
      <c r="GQ671" s="8"/>
      <c r="GR671" s="8"/>
      <c r="GS671" s="8"/>
      <c r="GT671" s="8"/>
      <c r="GU671" s="8"/>
      <c r="GV671" s="8"/>
      <c r="GW671" s="8"/>
      <c r="GX671" s="8"/>
      <c r="GY671" s="8"/>
      <c r="GZ671" s="8"/>
      <c r="HA671" s="8"/>
      <c r="HB671" s="8"/>
      <c r="HC671" s="8"/>
      <c r="HD671" s="8"/>
      <c r="HE671" s="8"/>
      <c r="HF671" s="8"/>
      <c r="HG671" s="8"/>
      <c r="HH671" s="8"/>
      <c r="HI671" s="8"/>
      <c r="HJ671" s="8"/>
      <c r="HK671" s="8"/>
      <c r="HL671" s="8"/>
      <c r="HM671" s="8"/>
      <c r="HN671" s="8"/>
      <c r="HO671" s="8"/>
      <c r="HP671" s="8"/>
      <c r="HQ671" s="8"/>
      <c r="HR671" s="8"/>
      <c r="HS671" s="8"/>
      <c r="HT671" s="8"/>
      <c r="HU671" s="8"/>
      <c r="HV671" s="8"/>
      <c r="HW671" s="8"/>
      <c r="HX671" s="8"/>
      <c r="HY671" s="8"/>
      <c r="HZ671" s="8"/>
      <c r="IA671" s="8"/>
      <c r="IB671" s="8"/>
      <c r="IC671" s="8"/>
      <c r="ID671" s="8"/>
    </row>
    <row r="672" spans="5:23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8"/>
      <c r="EE672" s="8"/>
      <c r="EF672" s="8"/>
      <c r="EG672" s="8"/>
      <c r="EH672" s="8"/>
      <c r="EI672" s="8"/>
      <c r="EJ672" s="8"/>
      <c r="EK672" s="8"/>
      <c r="EL672" s="8"/>
      <c r="EM672" s="8"/>
      <c r="EN672" s="8"/>
      <c r="EO672" s="8"/>
      <c r="EP672" s="8"/>
      <c r="EQ672" s="8"/>
      <c r="ER672" s="8"/>
      <c r="ES672" s="8"/>
      <c r="ET672" s="8"/>
      <c r="EU672" s="8"/>
      <c r="EV672" s="8"/>
      <c r="EW672" s="8"/>
      <c r="EX672" s="8"/>
      <c r="EY672" s="8"/>
      <c r="EZ672" s="8"/>
      <c r="FA672" s="8"/>
      <c r="FB672" s="8"/>
      <c r="FC672" s="8"/>
      <c r="FD672" s="8"/>
      <c r="FE672" s="8"/>
      <c r="FF672" s="8"/>
      <c r="FG672" s="8"/>
      <c r="FH672" s="8"/>
      <c r="FI672" s="8"/>
      <c r="FJ672" s="8"/>
      <c r="FK672" s="8"/>
      <c r="FL672" s="8"/>
      <c r="FM672" s="8"/>
      <c r="FN672" s="8"/>
      <c r="FO672" s="8"/>
      <c r="FP672" s="8"/>
      <c r="FQ672" s="8"/>
      <c r="FR672" s="8"/>
      <c r="FS672" s="8"/>
      <c r="FT672" s="8"/>
      <c r="FU672" s="8"/>
      <c r="FV672" s="8"/>
      <c r="FW672" s="8"/>
      <c r="FX672" s="8"/>
      <c r="FY672" s="8"/>
      <c r="FZ672" s="8"/>
      <c r="GA672" s="8"/>
      <c r="GB672" s="8"/>
      <c r="GC672" s="8"/>
      <c r="GD672" s="8"/>
      <c r="GE672" s="8"/>
      <c r="GF672" s="8"/>
      <c r="GG672" s="8"/>
      <c r="GH672" s="8"/>
      <c r="GI672" s="8"/>
      <c r="GJ672" s="8"/>
      <c r="GK672" s="8"/>
      <c r="GL672" s="8"/>
      <c r="GM672" s="8"/>
      <c r="GN672" s="8"/>
      <c r="GO672" s="8"/>
      <c r="GP672" s="8"/>
      <c r="GQ672" s="8"/>
      <c r="GR672" s="8"/>
      <c r="GS672" s="8"/>
      <c r="GT672" s="8"/>
      <c r="GU672" s="8"/>
      <c r="GV672" s="8"/>
      <c r="GW672" s="8"/>
      <c r="GX672" s="8"/>
      <c r="GY672" s="8"/>
      <c r="GZ672" s="8"/>
      <c r="HA672" s="8"/>
      <c r="HB672" s="8"/>
      <c r="HC672" s="8"/>
      <c r="HD672" s="8"/>
      <c r="HE672" s="8"/>
      <c r="HF672" s="8"/>
      <c r="HG672" s="8"/>
      <c r="HH672" s="8"/>
      <c r="HI672" s="8"/>
      <c r="HJ672" s="8"/>
      <c r="HK672" s="8"/>
      <c r="HL672" s="8"/>
      <c r="HM672" s="8"/>
      <c r="HN672" s="8"/>
      <c r="HO672" s="8"/>
      <c r="HP672" s="8"/>
      <c r="HQ672" s="8"/>
      <c r="HR672" s="8"/>
      <c r="HS672" s="8"/>
      <c r="HT672" s="8"/>
      <c r="HU672" s="8"/>
      <c r="HV672" s="8"/>
      <c r="HW672" s="8"/>
      <c r="HX672" s="8"/>
      <c r="HY672" s="8"/>
      <c r="HZ672" s="8"/>
      <c r="IA672" s="8"/>
      <c r="IB672" s="8"/>
      <c r="IC672" s="8"/>
      <c r="ID672" s="8"/>
    </row>
    <row r="673" spans="5:23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c r="CB673" s="8"/>
      <c r="CC673" s="8"/>
      <c r="CD673" s="8"/>
      <c r="CE673" s="8"/>
      <c r="CF673" s="8"/>
      <c r="CG673" s="8"/>
      <c r="CH673" s="8"/>
      <c r="CI673" s="8"/>
      <c r="CJ673" s="8"/>
      <c r="CK673" s="8"/>
      <c r="CL673" s="8"/>
      <c r="CM673" s="8"/>
      <c r="CN673" s="8"/>
      <c r="CO673" s="8"/>
      <c r="CP673" s="8"/>
      <c r="CQ673" s="8"/>
      <c r="CR673" s="8"/>
      <c r="CS673" s="8"/>
      <c r="CT673" s="8"/>
      <c r="CU673" s="8"/>
      <c r="CV673" s="8"/>
      <c r="CW673" s="8"/>
      <c r="CX673" s="8"/>
      <c r="CY673" s="8"/>
      <c r="CZ673" s="8"/>
      <c r="DA673" s="8"/>
      <c r="DB673" s="8"/>
      <c r="DC673" s="8"/>
      <c r="DD673" s="8"/>
      <c r="DE673" s="8"/>
      <c r="DF673" s="8"/>
      <c r="DG673" s="8"/>
      <c r="DH673" s="8"/>
      <c r="DI673" s="8"/>
      <c r="DJ673" s="8"/>
      <c r="DK673" s="8"/>
      <c r="DL673" s="8"/>
      <c r="DM673" s="8"/>
      <c r="DN673" s="8"/>
      <c r="DO673" s="8"/>
      <c r="DP673" s="8"/>
      <c r="DQ673" s="8"/>
      <c r="DR673" s="8"/>
      <c r="DS673" s="8"/>
      <c r="DT673" s="8"/>
      <c r="DU673" s="8"/>
      <c r="DV673" s="8"/>
      <c r="DW673" s="8"/>
      <c r="DX673" s="8"/>
      <c r="DY673" s="8"/>
      <c r="DZ673" s="8"/>
      <c r="EA673" s="8"/>
      <c r="EB673" s="8"/>
      <c r="EC673" s="8"/>
      <c r="ED673" s="8"/>
      <c r="EE673" s="8"/>
      <c r="EF673" s="8"/>
      <c r="EG673" s="8"/>
      <c r="EH673" s="8"/>
      <c r="EI673" s="8"/>
      <c r="EJ673" s="8"/>
      <c r="EK673" s="8"/>
      <c r="EL673" s="8"/>
      <c r="EM673" s="8"/>
      <c r="EN673" s="8"/>
      <c r="EO673" s="8"/>
      <c r="EP673" s="8"/>
      <c r="EQ673" s="8"/>
      <c r="ER673" s="8"/>
      <c r="ES673" s="8"/>
      <c r="ET673" s="8"/>
      <c r="EU673" s="8"/>
      <c r="EV673" s="8"/>
      <c r="EW673" s="8"/>
      <c r="EX673" s="8"/>
      <c r="EY673" s="8"/>
      <c r="EZ673" s="8"/>
      <c r="FA673" s="8"/>
      <c r="FB673" s="8"/>
      <c r="FC673" s="8"/>
      <c r="FD673" s="8"/>
      <c r="FE673" s="8"/>
      <c r="FF673" s="8"/>
      <c r="FG673" s="8"/>
      <c r="FH673" s="8"/>
      <c r="FI673" s="8"/>
      <c r="FJ673" s="8"/>
      <c r="FK673" s="8"/>
      <c r="FL673" s="8"/>
      <c r="FM673" s="8"/>
      <c r="FN673" s="8"/>
      <c r="FO673" s="8"/>
      <c r="FP673" s="8"/>
      <c r="FQ673" s="8"/>
      <c r="FR673" s="8"/>
      <c r="FS673" s="8"/>
      <c r="FT673" s="8"/>
      <c r="FU673" s="8"/>
      <c r="FV673" s="8"/>
      <c r="FW673" s="8"/>
      <c r="FX673" s="8"/>
      <c r="FY673" s="8"/>
      <c r="FZ673" s="8"/>
      <c r="GA673" s="8"/>
      <c r="GB673" s="8"/>
      <c r="GC673" s="8"/>
      <c r="GD673" s="8"/>
      <c r="GE673" s="8"/>
      <c r="GF673" s="8"/>
      <c r="GG673" s="8"/>
      <c r="GH673" s="8"/>
      <c r="GI673" s="8"/>
      <c r="GJ673" s="8"/>
      <c r="GK673" s="8"/>
      <c r="GL673" s="8"/>
      <c r="GM673" s="8"/>
      <c r="GN673" s="8"/>
      <c r="GO673" s="8"/>
      <c r="GP673" s="8"/>
      <c r="GQ673" s="8"/>
      <c r="GR673" s="8"/>
      <c r="GS673" s="8"/>
      <c r="GT673" s="8"/>
      <c r="GU673" s="8"/>
      <c r="GV673" s="8"/>
      <c r="GW673" s="8"/>
      <c r="GX673" s="8"/>
      <c r="GY673" s="8"/>
      <c r="GZ673" s="8"/>
      <c r="HA673" s="8"/>
      <c r="HB673" s="8"/>
      <c r="HC673" s="8"/>
      <c r="HD673" s="8"/>
      <c r="HE673" s="8"/>
      <c r="HF673" s="8"/>
      <c r="HG673" s="8"/>
      <c r="HH673" s="8"/>
      <c r="HI673" s="8"/>
      <c r="HJ673" s="8"/>
      <c r="HK673" s="8"/>
      <c r="HL673" s="8"/>
      <c r="HM673" s="8"/>
      <c r="HN673" s="8"/>
      <c r="HO673" s="8"/>
      <c r="HP673" s="8"/>
      <c r="HQ673" s="8"/>
      <c r="HR673" s="8"/>
      <c r="HS673" s="8"/>
      <c r="HT673" s="8"/>
      <c r="HU673" s="8"/>
      <c r="HV673" s="8"/>
      <c r="HW673" s="8"/>
      <c r="HX673" s="8"/>
      <c r="HY673" s="8"/>
      <c r="HZ673" s="8"/>
      <c r="IA673" s="8"/>
      <c r="IB673" s="8"/>
      <c r="IC673" s="8"/>
      <c r="ID673" s="8"/>
    </row>
    <row r="674" spans="5:23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c r="CB674" s="8"/>
      <c r="CC674" s="8"/>
      <c r="CD674" s="8"/>
      <c r="CE674" s="8"/>
      <c r="CF674" s="8"/>
      <c r="CG674" s="8"/>
      <c r="CH674" s="8"/>
      <c r="CI674" s="8"/>
      <c r="CJ674" s="8"/>
      <c r="CK674" s="8"/>
      <c r="CL674" s="8"/>
      <c r="CM674" s="8"/>
      <c r="CN674" s="8"/>
      <c r="CO674" s="8"/>
      <c r="CP674" s="8"/>
      <c r="CQ674" s="8"/>
      <c r="CR674" s="8"/>
      <c r="CS674" s="8"/>
      <c r="CT674" s="8"/>
      <c r="CU674" s="8"/>
      <c r="CV674" s="8"/>
      <c r="CW674" s="8"/>
      <c r="CX674" s="8"/>
      <c r="CY674" s="8"/>
      <c r="CZ674" s="8"/>
      <c r="DA674" s="8"/>
      <c r="DB674" s="8"/>
      <c r="DC674" s="8"/>
      <c r="DD674" s="8"/>
      <c r="DE674" s="8"/>
      <c r="DF674" s="8"/>
      <c r="DG674" s="8"/>
      <c r="DH674" s="8"/>
      <c r="DI674" s="8"/>
      <c r="DJ674" s="8"/>
      <c r="DK674" s="8"/>
      <c r="DL674" s="8"/>
      <c r="DM674" s="8"/>
      <c r="DN674" s="8"/>
      <c r="DO674" s="8"/>
      <c r="DP674" s="8"/>
      <c r="DQ674" s="8"/>
      <c r="DR674" s="8"/>
      <c r="DS674" s="8"/>
      <c r="DT674" s="8"/>
      <c r="DU674" s="8"/>
      <c r="DV674" s="8"/>
      <c r="DW674" s="8"/>
      <c r="DX674" s="8"/>
      <c r="DY674" s="8"/>
      <c r="DZ674" s="8"/>
      <c r="EA674" s="8"/>
      <c r="EB674" s="8"/>
      <c r="EC674" s="8"/>
      <c r="ED674" s="8"/>
      <c r="EE674" s="8"/>
      <c r="EF674" s="8"/>
      <c r="EG674" s="8"/>
      <c r="EH674" s="8"/>
      <c r="EI674" s="8"/>
      <c r="EJ674" s="8"/>
      <c r="EK674" s="8"/>
      <c r="EL674" s="8"/>
      <c r="EM674" s="8"/>
      <c r="EN674" s="8"/>
      <c r="EO674" s="8"/>
      <c r="EP674" s="8"/>
      <c r="EQ674" s="8"/>
      <c r="ER674" s="8"/>
      <c r="ES674" s="8"/>
      <c r="ET674" s="8"/>
      <c r="EU674" s="8"/>
      <c r="EV674" s="8"/>
      <c r="EW674" s="8"/>
      <c r="EX674" s="8"/>
      <c r="EY674" s="8"/>
      <c r="EZ674" s="8"/>
      <c r="FA674" s="8"/>
      <c r="FB674" s="8"/>
      <c r="FC674" s="8"/>
      <c r="FD674" s="8"/>
      <c r="FE674" s="8"/>
      <c r="FF674" s="8"/>
      <c r="FG674" s="8"/>
      <c r="FH674" s="8"/>
      <c r="FI674" s="8"/>
      <c r="FJ674" s="8"/>
      <c r="FK674" s="8"/>
      <c r="FL674" s="8"/>
      <c r="FM674" s="8"/>
      <c r="FN674" s="8"/>
      <c r="FO674" s="8"/>
      <c r="FP674" s="8"/>
      <c r="FQ674" s="8"/>
      <c r="FR674" s="8"/>
      <c r="FS674" s="8"/>
      <c r="FT674" s="8"/>
      <c r="FU674" s="8"/>
      <c r="FV674" s="8"/>
      <c r="FW674" s="8"/>
      <c r="FX674" s="8"/>
      <c r="FY674" s="8"/>
      <c r="FZ674" s="8"/>
      <c r="GA674" s="8"/>
      <c r="GB674" s="8"/>
      <c r="GC674" s="8"/>
      <c r="GD674" s="8"/>
      <c r="GE674" s="8"/>
      <c r="GF674" s="8"/>
      <c r="GG674" s="8"/>
      <c r="GH674" s="8"/>
      <c r="GI674" s="8"/>
      <c r="GJ674" s="8"/>
      <c r="GK674" s="8"/>
      <c r="GL674" s="8"/>
      <c r="GM674" s="8"/>
      <c r="GN674" s="8"/>
      <c r="GO674" s="8"/>
      <c r="GP674" s="8"/>
      <c r="GQ674" s="8"/>
      <c r="GR674" s="8"/>
      <c r="GS674" s="8"/>
      <c r="GT674" s="8"/>
      <c r="GU674" s="8"/>
      <c r="GV674" s="8"/>
      <c r="GW674" s="8"/>
      <c r="GX674" s="8"/>
      <c r="GY674" s="8"/>
      <c r="GZ674" s="8"/>
      <c r="HA674" s="8"/>
      <c r="HB674" s="8"/>
      <c r="HC674" s="8"/>
      <c r="HD674" s="8"/>
      <c r="HE674" s="8"/>
      <c r="HF674" s="8"/>
      <c r="HG674" s="8"/>
      <c r="HH674" s="8"/>
      <c r="HI674" s="8"/>
      <c r="HJ674" s="8"/>
      <c r="HK674" s="8"/>
      <c r="HL674" s="8"/>
      <c r="HM674" s="8"/>
      <c r="HN674" s="8"/>
      <c r="HO674" s="8"/>
      <c r="HP674" s="8"/>
      <c r="HQ674" s="8"/>
      <c r="HR674" s="8"/>
      <c r="HS674" s="8"/>
      <c r="HT674" s="8"/>
      <c r="HU674" s="8"/>
      <c r="HV674" s="8"/>
      <c r="HW674" s="8"/>
      <c r="HX674" s="8"/>
      <c r="HY674" s="8"/>
      <c r="HZ674" s="8"/>
      <c r="IA674" s="8"/>
      <c r="IB674" s="8"/>
      <c r="IC674" s="8"/>
      <c r="ID674" s="8"/>
    </row>
    <row r="675" spans="5:23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8"/>
      <c r="EE675" s="8"/>
      <c r="EF675" s="8"/>
      <c r="EG675" s="8"/>
      <c r="EH675" s="8"/>
      <c r="EI675" s="8"/>
      <c r="EJ675" s="8"/>
      <c r="EK675" s="8"/>
      <c r="EL675" s="8"/>
      <c r="EM675" s="8"/>
      <c r="EN675" s="8"/>
      <c r="EO675" s="8"/>
      <c r="EP675" s="8"/>
      <c r="EQ675" s="8"/>
      <c r="ER675" s="8"/>
      <c r="ES675" s="8"/>
      <c r="ET675" s="8"/>
      <c r="EU675" s="8"/>
      <c r="EV675" s="8"/>
      <c r="EW675" s="8"/>
      <c r="EX675" s="8"/>
      <c r="EY675" s="8"/>
      <c r="EZ675" s="8"/>
      <c r="FA675" s="8"/>
      <c r="FB675" s="8"/>
      <c r="FC675" s="8"/>
      <c r="FD675" s="8"/>
      <c r="FE675" s="8"/>
      <c r="FF675" s="8"/>
      <c r="FG675" s="8"/>
      <c r="FH675" s="8"/>
      <c r="FI675" s="8"/>
      <c r="FJ675" s="8"/>
      <c r="FK675" s="8"/>
      <c r="FL675" s="8"/>
      <c r="FM675" s="8"/>
      <c r="FN675" s="8"/>
      <c r="FO675" s="8"/>
      <c r="FP675" s="8"/>
      <c r="FQ675" s="8"/>
      <c r="FR675" s="8"/>
      <c r="FS675" s="8"/>
      <c r="FT675" s="8"/>
      <c r="FU675" s="8"/>
      <c r="FV675" s="8"/>
      <c r="FW675" s="8"/>
      <c r="FX675" s="8"/>
      <c r="FY675" s="8"/>
      <c r="FZ675" s="8"/>
      <c r="GA675" s="8"/>
      <c r="GB675" s="8"/>
      <c r="GC675" s="8"/>
      <c r="GD675" s="8"/>
      <c r="GE675" s="8"/>
      <c r="GF675" s="8"/>
      <c r="GG675" s="8"/>
      <c r="GH675" s="8"/>
      <c r="GI675" s="8"/>
      <c r="GJ675" s="8"/>
      <c r="GK675" s="8"/>
      <c r="GL675" s="8"/>
      <c r="GM675" s="8"/>
      <c r="GN675" s="8"/>
      <c r="GO675" s="8"/>
      <c r="GP675" s="8"/>
      <c r="GQ675" s="8"/>
      <c r="GR675" s="8"/>
      <c r="GS675" s="8"/>
      <c r="GT675" s="8"/>
      <c r="GU675" s="8"/>
      <c r="GV675" s="8"/>
      <c r="GW675" s="8"/>
      <c r="GX675" s="8"/>
      <c r="GY675" s="8"/>
      <c r="GZ675" s="8"/>
      <c r="HA675" s="8"/>
      <c r="HB675" s="8"/>
      <c r="HC675" s="8"/>
      <c r="HD675" s="8"/>
      <c r="HE675" s="8"/>
      <c r="HF675" s="8"/>
      <c r="HG675" s="8"/>
      <c r="HH675" s="8"/>
      <c r="HI675" s="8"/>
      <c r="HJ675" s="8"/>
      <c r="HK675" s="8"/>
      <c r="HL675" s="8"/>
      <c r="HM675" s="8"/>
      <c r="HN675" s="8"/>
      <c r="HO675" s="8"/>
      <c r="HP675" s="8"/>
      <c r="HQ675" s="8"/>
      <c r="HR675" s="8"/>
      <c r="HS675" s="8"/>
      <c r="HT675" s="8"/>
      <c r="HU675" s="8"/>
      <c r="HV675" s="8"/>
      <c r="HW675" s="8"/>
      <c r="HX675" s="8"/>
      <c r="HY675" s="8"/>
      <c r="HZ675" s="8"/>
      <c r="IA675" s="8"/>
      <c r="IB675" s="8"/>
      <c r="IC675" s="8"/>
      <c r="ID675" s="8"/>
    </row>
    <row r="676" spans="5:23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c r="CB676" s="8"/>
      <c r="CC676" s="8"/>
      <c r="CD676" s="8"/>
      <c r="CE676" s="8"/>
      <c r="CF676" s="8"/>
      <c r="CG676" s="8"/>
      <c r="CH676" s="8"/>
      <c r="CI676" s="8"/>
      <c r="CJ676" s="8"/>
      <c r="CK676" s="8"/>
      <c r="CL676" s="8"/>
      <c r="CM676" s="8"/>
      <c r="CN676" s="8"/>
      <c r="CO676" s="8"/>
      <c r="CP676" s="8"/>
      <c r="CQ676" s="8"/>
      <c r="CR676" s="8"/>
      <c r="CS676" s="8"/>
      <c r="CT676" s="8"/>
      <c r="CU676" s="8"/>
      <c r="CV676" s="8"/>
      <c r="CW676" s="8"/>
      <c r="CX676" s="8"/>
      <c r="CY676" s="8"/>
      <c r="CZ676" s="8"/>
      <c r="DA676" s="8"/>
      <c r="DB676" s="8"/>
      <c r="DC676" s="8"/>
      <c r="DD676" s="8"/>
      <c r="DE676" s="8"/>
      <c r="DF676" s="8"/>
      <c r="DG676" s="8"/>
      <c r="DH676" s="8"/>
      <c r="DI676" s="8"/>
      <c r="DJ676" s="8"/>
      <c r="DK676" s="8"/>
      <c r="DL676" s="8"/>
      <c r="DM676" s="8"/>
      <c r="DN676" s="8"/>
      <c r="DO676" s="8"/>
      <c r="DP676" s="8"/>
      <c r="DQ676" s="8"/>
      <c r="DR676" s="8"/>
      <c r="DS676" s="8"/>
      <c r="DT676" s="8"/>
      <c r="DU676" s="8"/>
      <c r="DV676" s="8"/>
      <c r="DW676" s="8"/>
      <c r="DX676" s="8"/>
      <c r="DY676" s="8"/>
      <c r="DZ676" s="8"/>
      <c r="EA676" s="8"/>
      <c r="EB676" s="8"/>
      <c r="EC676" s="8"/>
      <c r="ED676" s="8"/>
      <c r="EE676" s="8"/>
      <c r="EF676" s="8"/>
      <c r="EG676" s="8"/>
      <c r="EH676" s="8"/>
      <c r="EI676" s="8"/>
      <c r="EJ676" s="8"/>
      <c r="EK676" s="8"/>
      <c r="EL676" s="8"/>
      <c r="EM676" s="8"/>
      <c r="EN676" s="8"/>
      <c r="EO676" s="8"/>
      <c r="EP676" s="8"/>
      <c r="EQ676" s="8"/>
      <c r="ER676" s="8"/>
      <c r="ES676" s="8"/>
      <c r="ET676" s="8"/>
      <c r="EU676" s="8"/>
      <c r="EV676" s="8"/>
      <c r="EW676" s="8"/>
      <c r="EX676" s="8"/>
      <c r="EY676" s="8"/>
      <c r="EZ676" s="8"/>
      <c r="FA676" s="8"/>
      <c r="FB676" s="8"/>
      <c r="FC676" s="8"/>
      <c r="FD676" s="8"/>
      <c r="FE676" s="8"/>
      <c r="FF676" s="8"/>
      <c r="FG676" s="8"/>
      <c r="FH676" s="8"/>
      <c r="FI676" s="8"/>
      <c r="FJ676" s="8"/>
      <c r="FK676" s="8"/>
      <c r="FL676" s="8"/>
      <c r="FM676" s="8"/>
      <c r="FN676" s="8"/>
      <c r="FO676" s="8"/>
      <c r="FP676" s="8"/>
      <c r="FQ676" s="8"/>
      <c r="FR676" s="8"/>
      <c r="FS676" s="8"/>
      <c r="FT676" s="8"/>
      <c r="FU676" s="8"/>
      <c r="FV676" s="8"/>
      <c r="FW676" s="8"/>
      <c r="FX676" s="8"/>
      <c r="FY676" s="8"/>
      <c r="FZ676" s="8"/>
      <c r="GA676" s="8"/>
      <c r="GB676" s="8"/>
      <c r="GC676" s="8"/>
      <c r="GD676" s="8"/>
      <c r="GE676" s="8"/>
      <c r="GF676" s="8"/>
      <c r="GG676" s="8"/>
      <c r="GH676" s="8"/>
      <c r="GI676" s="8"/>
      <c r="GJ676" s="8"/>
      <c r="GK676" s="8"/>
      <c r="GL676" s="8"/>
      <c r="GM676" s="8"/>
      <c r="GN676" s="8"/>
      <c r="GO676" s="8"/>
      <c r="GP676" s="8"/>
      <c r="GQ676" s="8"/>
      <c r="GR676" s="8"/>
      <c r="GS676" s="8"/>
      <c r="GT676" s="8"/>
      <c r="GU676" s="8"/>
      <c r="GV676" s="8"/>
      <c r="GW676" s="8"/>
      <c r="GX676" s="8"/>
      <c r="GY676" s="8"/>
      <c r="GZ676" s="8"/>
      <c r="HA676" s="8"/>
      <c r="HB676" s="8"/>
      <c r="HC676" s="8"/>
      <c r="HD676" s="8"/>
      <c r="HE676" s="8"/>
      <c r="HF676" s="8"/>
      <c r="HG676" s="8"/>
      <c r="HH676" s="8"/>
      <c r="HI676" s="8"/>
      <c r="HJ676" s="8"/>
      <c r="HK676" s="8"/>
      <c r="HL676" s="8"/>
      <c r="HM676" s="8"/>
      <c r="HN676" s="8"/>
      <c r="HO676" s="8"/>
      <c r="HP676" s="8"/>
      <c r="HQ676" s="8"/>
      <c r="HR676" s="8"/>
      <c r="HS676" s="8"/>
      <c r="HT676" s="8"/>
      <c r="HU676" s="8"/>
      <c r="HV676" s="8"/>
      <c r="HW676" s="8"/>
      <c r="HX676" s="8"/>
      <c r="HY676" s="8"/>
      <c r="HZ676" s="8"/>
      <c r="IA676" s="8"/>
      <c r="IB676" s="8"/>
      <c r="IC676" s="8"/>
      <c r="ID676" s="8"/>
    </row>
    <row r="677" spans="5:23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c r="CB677" s="8"/>
      <c r="CC677" s="8"/>
      <c r="CD677" s="8"/>
      <c r="CE677" s="8"/>
      <c r="CF677" s="8"/>
      <c r="CG677" s="8"/>
      <c r="CH677" s="8"/>
      <c r="CI677" s="8"/>
      <c r="CJ677" s="8"/>
      <c r="CK677" s="8"/>
      <c r="CL677" s="8"/>
      <c r="CM677" s="8"/>
      <c r="CN677" s="8"/>
      <c r="CO677" s="8"/>
      <c r="CP677" s="8"/>
      <c r="CQ677" s="8"/>
      <c r="CR677" s="8"/>
      <c r="CS677" s="8"/>
      <c r="CT677" s="8"/>
      <c r="CU677" s="8"/>
      <c r="CV677" s="8"/>
      <c r="CW677" s="8"/>
      <c r="CX677" s="8"/>
      <c r="CY677" s="8"/>
      <c r="CZ677" s="8"/>
      <c r="DA677" s="8"/>
      <c r="DB677" s="8"/>
      <c r="DC677" s="8"/>
      <c r="DD677" s="8"/>
      <c r="DE677" s="8"/>
      <c r="DF677" s="8"/>
      <c r="DG677" s="8"/>
      <c r="DH677" s="8"/>
      <c r="DI677" s="8"/>
      <c r="DJ677" s="8"/>
      <c r="DK677" s="8"/>
      <c r="DL677" s="8"/>
      <c r="DM677" s="8"/>
      <c r="DN677" s="8"/>
      <c r="DO677" s="8"/>
      <c r="DP677" s="8"/>
      <c r="DQ677" s="8"/>
      <c r="DR677" s="8"/>
      <c r="DS677" s="8"/>
      <c r="DT677" s="8"/>
      <c r="DU677" s="8"/>
      <c r="DV677" s="8"/>
      <c r="DW677" s="8"/>
      <c r="DX677" s="8"/>
      <c r="DY677" s="8"/>
      <c r="DZ677" s="8"/>
      <c r="EA677" s="8"/>
      <c r="EB677" s="8"/>
      <c r="EC677" s="8"/>
      <c r="ED677" s="8"/>
      <c r="EE677" s="8"/>
      <c r="EF677" s="8"/>
      <c r="EG677" s="8"/>
      <c r="EH677" s="8"/>
      <c r="EI677" s="8"/>
      <c r="EJ677" s="8"/>
      <c r="EK677" s="8"/>
      <c r="EL677" s="8"/>
      <c r="EM677" s="8"/>
      <c r="EN677" s="8"/>
      <c r="EO677" s="8"/>
      <c r="EP677" s="8"/>
      <c r="EQ677" s="8"/>
      <c r="ER677" s="8"/>
      <c r="ES677" s="8"/>
      <c r="ET677" s="8"/>
      <c r="EU677" s="8"/>
      <c r="EV677" s="8"/>
      <c r="EW677" s="8"/>
      <c r="EX677" s="8"/>
      <c r="EY677" s="8"/>
      <c r="EZ677" s="8"/>
      <c r="FA677" s="8"/>
      <c r="FB677" s="8"/>
      <c r="FC677" s="8"/>
      <c r="FD677" s="8"/>
      <c r="FE677" s="8"/>
      <c r="FF677" s="8"/>
      <c r="FG677" s="8"/>
      <c r="FH677" s="8"/>
      <c r="FI677" s="8"/>
      <c r="FJ677" s="8"/>
      <c r="FK677" s="8"/>
      <c r="FL677" s="8"/>
      <c r="FM677" s="8"/>
      <c r="FN677" s="8"/>
      <c r="FO677" s="8"/>
      <c r="FP677" s="8"/>
      <c r="FQ677" s="8"/>
      <c r="FR677" s="8"/>
      <c r="FS677" s="8"/>
      <c r="FT677" s="8"/>
      <c r="FU677" s="8"/>
      <c r="FV677" s="8"/>
      <c r="FW677" s="8"/>
      <c r="FX677" s="8"/>
      <c r="FY677" s="8"/>
      <c r="FZ677" s="8"/>
      <c r="GA677" s="8"/>
      <c r="GB677" s="8"/>
      <c r="GC677" s="8"/>
      <c r="GD677" s="8"/>
      <c r="GE677" s="8"/>
      <c r="GF677" s="8"/>
      <c r="GG677" s="8"/>
      <c r="GH677" s="8"/>
      <c r="GI677" s="8"/>
      <c r="GJ677" s="8"/>
      <c r="GK677" s="8"/>
      <c r="GL677" s="8"/>
      <c r="GM677" s="8"/>
      <c r="GN677" s="8"/>
      <c r="GO677" s="8"/>
      <c r="GP677" s="8"/>
      <c r="GQ677" s="8"/>
      <c r="GR677" s="8"/>
      <c r="GS677" s="8"/>
      <c r="GT677" s="8"/>
      <c r="GU677" s="8"/>
      <c r="GV677" s="8"/>
      <c r="GW677" s="8"/>
      <c r="GX677" s="8"/>
      <c r="GY677" s="8"/>
      <c r="GZ677" s="8"/>
      <c r="HA677" s="8"/>
      <c r="HB677" s="8"/>
      <c r="HC677" s="8"/>
      <c r="HD677" s="8"/>
      <c r="HE677" s="8"/>
      <c r="HF677" s="8"/>
      <c r="HG677" s="8"/>
      <c r="HH677" s="8"/>
      <c r="HI677" s="8"/>
      <c r="HJ677" s="8"/>
      <c r="HK677" s="8"/>
      <c r="HL677" s="8"/>
      <c r="HM677" s="8"/>
      <c r="HN677" s="8"/>
      <c r="HO677" s="8"/>
      <c r="HP677" s="8"/>
      <c r="HQ677" s="8"/>
      <c r="HR677" s="8"/>
      <c r="HS677" s="8"/>
      <c r="HT677" s="8"/>
      <c r="HU677" s="8"/>
      <c r="HV677" s="8"/>
      <c r="HW677" s="8"/>
      <c r="HX677" s="8"/>
      <c r="HY677" s="8"/>
      <c r="HZ677" s="8"/>
      <c r="IA677" s="8"/>
      <c r="IB677" s="8"/>
      <c r="IC677" s="8"/>
      <c r="ID677" s="8"/>
    </row>
    <row r="678" spans="5:23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8"/>
      <c r="EE678" s="8"/>
      <c r="EF678" s="8"/>
      <c r="EG678" s="8"/>
      <c r="EH678" s="8"/>
      <c r="EI678" s="8"/>
      <c r="EJ678" s="8"/>
      <c r="EK678" s="8"/>
      <c r="EL678" s="8"/>
      <c r="EM678" s="8"/>
      <c r="EN678" s="8"/>
      <c r="EO678" s="8"/>
      <c r="EP678" s="8"/>
      <c r="EQ678" s="8"/>
      <c r="ER678" s="8"/>
      <c r="ES678" s="8"/>
      <c r="ET678" s="8"/>
      <c r="EU678" s="8"/>
      <c r="EV678" s="8"/>
      <c r="EW678" s="8"/>
      <c r="EX678" s="8"/>
      <c r="EY678" s="8"/>
      <c r="EZ678" s="8"/>
      <c r="FA678" s="8"/>
      <c r="FB678" s="8"/>
      <c r="FC678" s="8"/>
      <c r="FD678" s="8"/>
      <c r="FE678" s="8"/>
      <c r="FF678" s="8"/>
      <c r="FG678" s="8"/>
      <c r="FH678" s="8"/>
      <c r="FI678" s="8"/>
      <c r="FJ678" s="8"/>
      <c r="FK678" s="8"/>
      <c r="FL678" s="8"/>
      <c r="FM678" s="8"/>
      <c r="FN678" s="8"/>
      <c r="FO678" s="8"/>
      <c r="FP678" s="8"/>
      <c r="FQ678" s="8"/>
      <c r="FR678" s="8"/>
      <c r="FS678" s="8"/>
      <c r="FT678" s="8"/>
      <c r="FU678" s="8"/>
      <c r="FV678" s="8"/>
      <c r="FW678" s="8"/>
      <c r="FX678" s="8"/>
      <c r="FY678" s="8"/>
      <c r="FZ678" s="8"/>
      <c r="GA678" s="8"/>
      <c r="GB678" s="8"/>
      <c r="GC678" s="8"/>
      <c r="GD678" s="8"/>
      <c r="GE678" s="8"/>
      <c r="GF678" s="8"/>
      <c r="GG678" s="8"/>
      <c r="GH678" s="8"/>
      <c r="GI678" s="8"/>
      <c r="GJ678" s="8"/>
      <c r="GK678" s="8"/>
      <c r="GL678" s="8"/>
      <c r="GM678" s="8"/>
      <c r="GN678" s="8"/>
      <c r="GO678" s="8"/>
      <c r="GP678" s="8"/>
      <c r="GQ678" s="8"/>
      <c r="GR678" s="8"/>
      <c r="GS678" s="8"/>
      <c r="GT678" s="8"/>
      <c r="GU678" s="8"/>
      <c r="GV678" s="8"/>
      <c r="GW678" s="8"/>
      <c r="GX678" s="8"/>
      <c r="GY678" s="8"/>
      <c r="GZ678" s="8"/>
      <c r="HA678" s="8"/>
      <c r="HB678" s="8"/>
      <c r="HC678" s="8"/>
      <c r="HD678" s="8"/>
      <c r="HE678" s="8"/>
      <c r="HF678" s="8"/>
      <c r="HG678" s="8"/>
      <c r="HH678" s="8"/>
      <c r="HI678" s="8"/>
      <c r="HJ678" s="8"/>
      <c r="HK678" s="8"/>
      <c r="HL678" s="8"/>
      <c r="HM678" s="8"/>
      <c r="HN678" s="8"/>
      <c r="HO678" s="8"/>
      <c r="HP678" s="8"/>
      <c r="HQ678" s="8"/>
      <c r="HR678" s="8"/>
      <c r="HS678" s="8"/>
      <c r="HT678" s="8"/>
      <c r="HU678" s="8"/>
      <c r="HV678" s="8"/>
      <c r="HW678" s="8"/>
      <c r="HX678" s="8"/>
      <c r="HY678" s="8"/>
      <c r="HZ678" s="8"/>
      <c r="IA678" s="8"/>
      <c r="IB678" s="8"/>
      <c r="IC678" s="8"/>
      <c r="ID678" s="8"/>
    </row>
    <row r="679" spans="5:23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8"/>
      <c r="EE679" s="8"/>
      <c r="EF679" s="8"/>
      <c r="EG679" s="8"/>
      <c r="EH679" s="8"/>
      <c r="EI679" s="8"/>
      <c r="EJ679" s="8"/>
      <c r="EK679" s="8"/>
      <c r="EL679" s="8"/>
      <c r="EM679" s="8"/>
      <c r="EN679" s="8"/>
      <c r="EO679" s="8"/>
      <c r="EP679" s="8"/>
      <c r="EQ679" s="8"/>
      <c r="ER679" s="8"/>
      <c r="ES679" s="8"/>
      <c r="ET679" s="8"/>
      <c r="EU679" s="8"/>
      <c r="EV679" s="8"/>
      <c r="EW679" s="8"/>
      <c r="EX679" s="8"/>
      <c r="EY679" s="8"/>
      <c r="EZ679" s="8"/>
      <c r="FA679" s="8"/>
      <c r="FB679" s="8"/>
      <c r="FC679" s="8"/>
      <c r="FD679" s="8"/>
      <c r="FE679" s="8"/>
      <c r="FF679" s="8"/>
      <c r="FG679" s="8"/>
      <c r="FH679" s="8"/>
      <c r="FI679" s="8"/>
      <c r="FJ679" s="8"/>
      <c r="FK679" s="8"/>
      <c r="FL679" s="8"/>
      <c r="FM679" s="8"/>
      <c r="FN679" s="8"/>
      <c r="FO679" s="8"/>
      <c r="FP679" s="8"/>
      <c r="FQ679" s="8"/>
      <c r="FR679" s="8"/>
      <c r="FS679" s="8"/>
      <c r="FT679" s="8"/>
      <c r="FU679" s="8"/>
      <c r="FV679" s="8"/>
      <c r="FW679" s="8"/>
      <c r="FX679" s="8"/>
      <c r="FY679" s="8"/>
      <c r="FZ679" s="8"/>
      <c r="GA679" s="8"/>
      <c r="GB679" s="8"/>
      <c r="GC679" s="8"/>
      <c r="GD679" s="8"/>
      <c r="GE679" s="8"/>
      <c r="GF679" s="8"/>
      <c r="GG679" s="8"/>
      <c r="GH679" s="8"/>
      <c r="GI679" s="8"/>
      <c r="GJ679" s="8"/>
      <c r="GK679" s="8"/>
      <c r="GL679" s="8"/>
      <c r="GM679" s="8"/>
      <c r="GN679" s="8"/>
      <c r="GO679" s="8"/>
      <c r="GP679" s="8"/>
      <c r="GQ679" s="8"/>
      <c r="GR679" s="8"/>
      <c r="GS679" s="8"/>
      <c r="GT679" s="8"/>
      <c r="GU679" s="8"/>
      <c r="GV679" s="8"/>
      <c r="GW679" s="8"/>
      <c r="GX679" s="8"/>
      <c r="GY679" s="8"/>
      <c r="GZ679" s="8"/>
      <c r="HA679" s="8"/>
      <c r="HB679" s="8"/>
      <c r="HC679" s="8"/>
      <c r="HD679" s="8"/>
      <c r="HE679" s="8"/>
      <c r="HF679" s="8"/>
      <c r="HG679" s="8"/>
      <c r="HH679" s="8"/>
      <c r="HI679" s="8"/>
      <c r="HJ679" s="8"/>
      <c r="HK679" s="8"/>
      <c r="HL679" s="8"/>
      <c r="HM679" s="8"/>
      <c r="HN679" s="8"/>
      <c r="HO679" s="8"/>
      <c r="HP679" s="8"/>
      <c r="HQ679" s="8"/>
      <c r="HR679" s="8"/>
      <c r="HS679" s="8"/>
      <c r="HT679" s="8"/>
      <c r="HU679" s="8"/>
      <c r="HV679" s="8"/>
      <c r="HW679" s="8"/>
      <c r="HX679" s="8"/>
      <c r="HY679" s="8"/>
      <c r="HZ679" s="8"/>
      <c r="IA679" s="8"/>
      <c r="IB679" s="8"/>
      <c r="IC679" s="8"/>
      <c r="ID679" s="8"/>
    </row>
    <row r="680" spans="5:23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c r="CB680" s="8"/>
      <c r="CC680" s="8"/>
      <c r="CD680" s="8"/>
      <c r="CE680" s="8"/>
      <c r="CF680" s="8"/>
      <c r="CG680" s="8"/>
      <c r="CH680" s="8"/>
      <c r="CI680" s="8"/>
      <c r="CJ680" s="8"/>
      <c r="CK680" s="8"/>
      <c r="CL680" s="8"/>
      <c r="CM680" s="8"/>
      <c r="CN680" s="8"/>
      <c r="CO680" s="8"/>
      <c r="CP680" s="8"/>
      <c r="CQ680" s="8"/>
      <c r="CR680" s="8"/>
      <c r="CS680" s="8"/>
      <c r="CT680" s="8"/>
      <c r="CU680" s="8"/>
      <c r="CV680" s="8"/>
      <c r="CW680" s="8"/>
      <c r="CX680" s="8"/>
      <c r="CY680" s="8"/>
      <c r="CZ680" s="8"/>
      <c r="DA680" s="8"/>
      <c r="DB680" s="8"/>
      <c r="DC680" s="8"/>
      <c r="DD680" s="8"/>
      <c r="DE680" s="8"/>
      <c r="DF680" s="8"/>
      <c r="DG680" s="8"/>
      <c r="DH680" s="8"/>
      <c r="DI680" s="8"/>
      <c r="DJ680" s="8"/>
      <c r="DK680" s="8"/>
      <c r="DL680" s="8"/>
      <c r="DM680" s="8"/>
      <c r="DN680" s="8"/>
      <c r="DO680" s="8"/>
      <c r="DP680" s="8"/>
      <c r="DQ680" s="8"/>
      <c r="DR680" s="8"/>
      <c r="DS680" s="8"/>
      <c r="DT680" s="8"/>
      <c r="DU680" s="8"/>
      <c r="DV680" s="8"/>
      <c r="DW680" s="8"/>
      <c r="DX680" s="8"/>
      <c r="DY680" s="8"/>
      <c r="DZ680" s="8"/>
      <c r="EA680" s="8"/>
      <c r="EB680" s="8"/>
      <c r="EC680" s="8"/>
      <c r="ED680" s="8"/>
      <c r="EE680" s="8"/>
      <c r="EF680" s="8"/>
      <c r="EG680" s="8"/>
      <c r="EH680" s="8"/>
      <c r="EI680" s="8"/>
      <c r="EJ680" s="8"/>
      <c r="EK680" s="8"/>
      <c r="EL680" s="8"/>
      <c r="EM680" s="8"/>
      <c r="EN680" s="8"/>
      <c r="EO680" s="8"/>
      <c r="EP680" s="8"/>
      <c r="EQ680" s="8"/>
      <c r="ER680" s="8"/>
      <c r="ES680" s="8"/>
      <c r="ET680" s="8"/>
      <c r="EU680" s="8"/>
      <c r="EV680" s="8"/>
      <c r="EW680" s="8"/>
      <c r="EX680" s="8"/>
      <c r="EY680" s="8"/>
      <c r="EZ680" s="8"/>
      <c r="FA680" s="8"/>
      <c r="FB680" s="8"/>
      <c r="FC680" s="8"/>
      <c r="FD680" s="8"/>
      <c r="FE680" s="8"/>
      <c r="FF680" s="8"/>
      <c r="FG680" s="8"/>
      <c r="FH680" s="8"/>
      <c r="FI680" s="8"/>
      <c r="FJ680" s="8"/>
      <c r="FK680" s="8"/>
      <c r="FL680" s="8"/>
      <c r="FM680" s="8"/>
      <c r="FN680" s="8"/>
      <c r="FO680" s="8"/>
      <c r="FP680" s="8"/>
      <c r="FQ680" s="8"/>
      <c r="FR680" s="8"/>
      <c r="FS680" s="8"/>
      <c r="FT680" s="8"/>
      <c r="FU680" s="8"/>
      <c r="FV680" s="8"/>
      <c r="FW680" s="8"/>
      <c r="FX680" s="8"/>
      <c r="FY680" s="8"/>
      <c r="FZ680" s="8"/>
      <c r="GA680" s="8"/>
      <c r="GB680" s="8"/>
      <c r="GC680" s="8"/>
      <c r="GD680" s="8"/>
      <c r="GE680" s="8"/>
      <c r="GF680" s="8"/>
      <c r="GG680" s="8"/>
      <c r="GH680" s="8"/>
      <c r="GI680" s="8"/>
      <c r="GJ680" s="8"/>
      <c r="GK680" s="8"/>
      <c r="GL680" s="8"/>
      <c r="GM680" s="8"/>
      <c r="GN680" s="8"/>
      <c r="GO680" s="8"/>
      <c r="GP680" s="8"/>
      <c r="GQ680" s="8"/>
      <c r="GR680" s="8"/>
      <c r="GS680" s="8"/>
      <c r="GT680" s="8"/>
      <c r="GU680" s="8"/>
      <c r="GV680" s="8"/>
      <c r="GW680" s="8"/>
      <c r="GX680" s="8"/>
      <c r="GY680" s="8"/>
      <c r="GZ680" s="8"/>
      <c r="HA680" s="8"/>
      <c r="HB680" s="8"/>
      <c r="HC680" s="8"/>
      <c r="HD680" s="8"/>
      <c r="HE680" s="8"/>
      <c r="HF680" s="8"/>
      <c r="HG680" s="8"/>
      <c r="HH680" s="8"/>
      <c r="HI680" s="8"/>
      <c r="HJ680" s="8"/>
      <c r="HK680" s="8"/>
      <c r="HL680" s="8"/>
      <c r="HM680" s="8"/>
      <c r="HN680" s="8"/>
      <c r="HO680" s="8"/>
      <c r="HP680" s="8"/>
      <c r="HQ680" s="8"/>
      <c r="HR680" s="8"/>
      <c r="HS680" s="8"/>
      <c r="HT680" s="8"/>
      <c r="HU680" s="8"/>
      <c r="HV680" s="8"/>
      <c r="HW680" s="8"/>
      <c r="HX680" s="8"/>
      <c r="HY680" s="8"/>
      <c r="HZ680" s="8"/>
      <c r="IA680" s="8"/>
      <c r="IB680" s="8"/>
      <c r="IC680" s="8"/>
      <c r="ID680" s="8"/>
    </row>
    <row r="681" spans="5:23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c r="CB681" s="8"/>
      <c r="CC681" s="8"/>
      <c r="CD681" s="8"/>
      <c r="CE681" s="8"/>
      <c r="CF681" s="8"/>
      <c r="CG681" s="8"/>
      <c r="CH681" s="8"/>
      <c r="CI681" s="8"/>
      <c r="CJ681" s="8"/>
      <c r="CK681" s="8"/>
      <c r="CL681" s="8"/>
      <c r="CM681" s="8"/>
      <c r="CN681" s="8"/>
      <c r="CO681" s="8"/>
      <c r="CP681" s="8"/>
      <c r="CQ681" s="8"/>
      <c r="CR681" s="8"/>
      <c r="CS681" s="8"/>
      <c r="CT681" s="8"/>
      <c r="CU681" s="8"/>
      <c r="CV681" s="8"/>
      <c r="CW681" s="8"/>
      <c r="CX681" s="8"/>
      <c r="CY681" s="8"/>
      <c r="CZ681" s="8"/>
      <c r="DA681" s="8"/>
      <c r="DB681" s="8"/>
      <c r="DC681" s="8"/>
      <c r="DD681" s="8"/>
      <c r="DE681" s="8"/>
      <c r="DF681" s="8"/>
      <c r="DG681" s="8"/>
      <c r="DH681" s="8"/>
      <c r="DI681" s="8"/>
      <c r="DJ681" s="8"/>
      <c r="DK681" s="8"/>
      <c r="DL681" s="8"/>
      <c r="DM681" s="8"/>
      <c r="DN681" s="8"/>
      <c r="DO681" s="8"/>
      <c r="DP681" s="8"/>
      <c r="DQ681" s="8"/>
      <c r="DR681" s="8"/>
      <c r="DS681" s="8"/>
      <c r="DT681" s="8"/>
      <c r="DU681" s="8"/>
      <c r="DV681" s="8"/>
      <c r="DW681" s="8"/>
      <c r="DX681" s="8"/>
      <c r="DY681" s="8"/>
      <c r="DZ681" s="8"/>
      <c r="EA681" s="8"/>
      <c r="EB681" s="8"/>
      <c r="EC681" s="8"/>
      <c r="ED681" s="8"/>
      <c r="EE681" s="8"/>
      <c r="EF681" s="8"/>
      <c r="EG681" s="8"/>
      <c r="EH681" s="8"/>
      <c r="EI681" s="8"/>
      <c r="EJ681" s="8"/>
      <c r="EK681" s="8"/>
      <c r="EL681" s="8"/>
      <c r="EM681" s="8"/>
      <c r="EN681" s="8"/>
      <c r="EO681" s="8"/>
      <c r="EP681" s="8"/>
      <c r="EQ681" s="8"/>
      <c r="ER681" s="8"/>
      <c r="ES681" s="8"/>
      <c r="ET681" s="8"/>
      <c r="EU681" s="8"/>
      <c r="EV681" s="8"/>
      <c r="EW681" s="8"/>
      <c r="EX681" s="8"/>
      <c r="EY681" s="8"/>
      <c r="EZ681" s="8"/>
      <c r="FA681" s="8"/>
      <c r="FB681" s="8"/>
      <c r="FC681" s="8"/>
      <c r="FD681" s="8"/>
      <c r="FE681" s="8"/>
      <c r="FF681" s="8"/>
      <c r="FG681" s="8"/>
      <c r="FH681" s="8"/>
      <c r="FI681" s="8"/>
      <c r="FJ681" s="8"/>
      <c r="FK681" s="8"/>
      <c r="FL681" s="8"/>
      <c r="FM681" s="8"/>
      <c r="FN681" s="8"/>
      <c r="FO681" s="8"/>
      <c r="FP681" s="8"/>
      <c r="FQ681" s="8"/>
      <c r="FR681" s="8"/>
      <c r="FS681" s="8"/>
      <c r="FT681" s="8"/>
      <c r="FU681" s="8"/>
      <c r="FV681" s="8"/>
      <c r="FW681" s="8"/>
      <c r="FX681" s="8"/>
      <c r="FY681" s="8"/>
      <c r="FZ681" s="8"/>
      <c r="GA681" s="8"/>
      <c r="GB681" s="8"/>
      <c r="GC681" s="8"/>
      <c r="GD681" s="8"/>
      <c r="GE681" s="8"/>
      <c r="GF681" s="8"/>
      <c r="GG681" s="8"/>
      <c r="GH681" s="8"/>
      <c r="GI681" s="8"/>
      <c r="GJ681" s="8"/>
      <c r="GK681" s="8"/>
      <c r="GL681" s="8"/>
      <c r="GM681" s="8"/>
      <c r="GN681" s="8"/>
      <c r="GO681" s="8"/>
      <c r="GP681" s="8"/>
      <c r="GQ681" s="8"/>
      <c r="GR681" s="8"/>
      <c r="GS681" s="8"/>
      <c r="GT681" s="8"/>
      <c r="GU681" s="8"/>
      <c r="GV681" s="8"/>
      <c r="GW681" s="8"/>
      <c r="GX681" s="8"/>
      <c r="GY681" s="8"/>
      <c r="GZ681" s="8"/>
      <c r="HA681" s="8"/>
      <c r="HB681" s="8"/>
      <c r="HC681" s="8"/>
      <c r="HD681" s="8"/>
      <c r="HE681" s="8"/>
      <c r="HF681" s="8"/>
      <c r="HG681" s="8"/>
      <c r="HH681" s="8"/>
      <c r="HI681" s="8"/>
      <c r="HJ681" s="8"/>
      <c r="HK681" s="8"/>
      <c r="HL681" s="8"/>
      <c r="HM681" s="8"/>
      <c r="HN681" s="8"/>
      <c r="HO681" s="8"/>
      <c r="HP681" s="8"/>
      <c r="HQ681" s="8"/>
      <c r="HR681" s="8"/>
      <c r="HS681" s="8"/>
      <c r="HT681" s="8"/>
      <c r="HU681" s="8"/>
      <c r="HV681" s="8"/>
      <c r="HW681" s="8"/>
      <c r="HX681" s="8"/>
      <c r="HY681" s="8"/>
      <c r="HZ681" s="8"/>
      <c r="IA681" s="8"/>
      <c r="IB681" s="8"/>
      <c r="IC681" s="8"/>
      <c r="ID681" s="8"/>
    </row>
    <row r="682" spans="5:23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c r="CX682" s="8"/>
      <c r="CY682" s="8"/>
      <c r="CZ682" s="8"/>
      <c r="DA682" s="8"/>
      <c r="DB682" s="8"/>
      <c r="DC682" s="8"/>
      <c r="DD682" s="8"/>
      <c r="DE682" s="8"/>
      <c r="DF682" s="8"/>
      <c r="DG682" s="8"/>
      <c r="DH682" s="8"/>
      <c r="DI682" s="8"/>
      <c r="DJ682" s="8"/>
      <c r="DK682" s="8"/>
      <c r="DL682" s="8"/>
      <c r="DM682" s="8"/>
      <c r="DN682" s="8"/>
      <c r="DO682" s="8"/>
      <c r="DP682" s="8"/>
      <c r="DQ682" s="8"/>
      <c r="DR682" s="8"/>
      <c r="DS682" s="8"/>
      <c r="DT682" s="8"/>
      <c r="DU682" s="8"/>
      <c r="DV682" s="8"/>
      <c r="DW682" s="8"/>
      <c r="DX682" s="8"/>
      <c r="DY682" s="8"/>
      <c r="DZ682" s="8"/>
      <c r="EA682" s="8"/>
      <c r="EB682" s="8"/>
      <c r="EC682" s="8"/>
      <c r="ED682" s="8"/>
      <c r="EE682" s="8"/>
      <c r="EF682" s="8"/>
      <c r="EG682" s="8"/>
      <c r="EH682" s="8"/>
      <c r="EI682" s="8"/>
      <c r="EJ682" s="8"/>
      <c r="EK682" s="8"/>
      <c r="EL682" s="8"/>
      <c r="EM682" s="8"/>
      <c r="EN682" s="8"/>
      <c r="EO682" s="8"/>
      <c r="EP682" s="8"/>
      <c r="EQ682" s="8"/>
      <c r="ER682" s="8"/>
      <c r="ES682" s="8"/>
      <c r="ET682" s="8"/>
      <c r="EU682" s="8"/>
      <c r="EV682" s="8"/>
      <c r="EW682" s="8"/>
      <c r="EX682" s="8"/>
      <c r="EY682" s="8"/>
      <c r="EZ682" s="8"/>
      <c r="FA682" s="8"/>
      <c r="FB682" s="8"/>
      <c r="FC682" s="8"/>
      <c r="FD682" s="8"/>
      <c r="FE682" s="8"/>
      <c r="FF682" s="8"/>
      <c r="FG682" s="8"/>
      <c r="FH682" s="8"/>
      <c r="FI682" s="8"/>
      <c r="FJ682" s="8"/>
      <c r="FK682" s="8"/>
      <c r="FL682" s="8"/>
      <c r="FM682" s="8"/>
      <c r="FN682" s="8"/>
      <c r="FO682" s="8"/>
      <c r="FP682" s="8"/>
      <c r="FQ682" s="8"/>
      <c r="FR682" s="8"/>
      <c r="FS682" s="8"/>
      <c r="FT682" s="8"/>
      <c r="FU682" s="8"/>
      <c r="FV682" s="8"/>
      <c r="FW682" s="8"/>
      <c r="FX682" s="8"/>
      <c r="FY682" s="8"/>
      <c r="FZ682" s="8"/>
      <c r="GA682" s="8"/>
      <c r="GB682" s="8"/>
      <c r="GC682" s="8"/>
      <c r="GD682" s="8"/>
      <c r="GE682" s="8"/>
      <c r="GF682" s="8"/>
      <c r="GG682" s="8"/>
      <c r="GH682" s="8"/>
      <c r="GI682" s="8"/>
      <c r="GJ682" s="8"/>
      <c r="GK682" s="8"/>
      <c r="GL682" s="8"/>
      <c r="GM682" s="8"/>
      <c r="GN682" s="8"/>
      <c r="GO682" s="8"/>
      <c r="GP682" s="8"/>
      <c r="GQ682" s="8"/>
      <c r="GR682" s="8"/>
      <c r="GS682" s="8"/>
      <c r="GT682" s="8"/>
      <c r="GU682" s="8"/>
      <c r="GV682" s="8"/>
      <c r="GW682" s="8"/>
      <c r="GX682" s="8"/>
      <c r="GY682" s="8"/>
      <c r="GZ682" s="8"/>
      <c r="HA682" s="8"/>
      <c r="HB682" s="8"/>
      <c r="HC682" s="8"/>
      <c r="HD682" s="8"/>
      <c r="HE682" s="8"/>
      <c r="HF682" s="8"/>
      <c r="HG682" s="8"/>
      <c r="HH682" s="8"/>
      <c r="HI682" s="8"/>
      <c r="HJ682" s="8"/>
      <c r="HK682" s="8"/>
      <c r="HL682" s="8"/>
      <c r="HM682" s="8"/>
      <c r="HN682" s="8"/>
      <c r="HO682" s="8"/>
      <c r="HP682" s="8"/>
      <c r="HQ682" s="8"/>
      <c r="HR682" s="8"/>
      <c r="HS682" s="8"/>
      <c r="HT682" s="8"/>
      <c r="HU682" s="8"/>
      <c r="HV682" s="8"/>
      <c r="HW682" s="8"/>
      <c r="HX682" s="8"/>
      <c r="HY682" s="8"/>
      <c r="HZ682" s="8"/>
      <c r="IA682" s="8"/>
      <c r="IB682" s="8"/>
      <c r="IC682" s="8"/>
      <c r="ID682" s="8"/>
    </row>
  </sheetData>
  <sheetProtection algorithmName="SHA-512" hashValue="mCRDVbzaGbp1qO3Nu5bJ5vi1PX/esua8Alo6LQztWU3eLStGtz3vWQ4JHBvx7AR0N4SYVrGGGHvdRfNtgyiPiw==" saltValue="YRgcZOLHjDmBixbvWAC8KA==" spinCount="100000" sheet="1" objects="1" scenarios="1" selectLockedCells="1"/>
  <mergeCells count="2">
    <mergeCell ref="A1:C1"/>
    <mergeCell ref="A2:C2"/>
  </mergeCells>
  <conditionalFormatting sqref="C4">
    <cfRule type="expression" dxfId="627" priority="6">
      <formula>IF($C$3="بله",TRUE,FALSE)</formula>
    </cfRule>
    <cfRule type="expression" dxfId="626" priority="7">
      <formula>IF($C$3="بله",TRUE,FALSE)</formula>
    </cfRule>
  </conditionalFormatting>
  <conditionalFormatting sqref="C6">
    <cfRule type="expression" dxfId="625" priority="3">
      <formula>IF($C$5="کمتر از 720 روز",TRUE,FALSE)</formula>
    </cfRule>
  </conditionalFormatting>
  <conditionalFormatting sqref="C8">
    <cfRule type="expression" dxfId="624" priority="1">
      <formula>IF($C$7="کمتر از یکسال",TRUE,FALSE)</formula>
    </cfRule>
  </conditionalFormatting>
  <dataValidations count="3">
    <dataValidation type="list" errorStyle="information" allowBlank="1" showInputMessage="1" showErrorMessage="1" promptTitle="بله" sqref="C3" xr:uid="{00000000-0002-0000-0100-000000000000}">
      <formula1>"بله, خیر"</formula1>
    </dataValidation>
    <dataValidation type="list" allowBlank="1" showInputMessage="1" showErrorMessage="1" sqref="C7" xr:uid="{00000000-0002-0000-0100-000001000000}">
      <formula1>"بیش از یکسال, یکسال, کمتر از یکسال"</formula1>
    </dataValidation>
    <dataValidation type="list" allowBlank="1" showInputMessage="1" showErrorMessage="1" sqref="C5" xr:uid="{00000000-0002-0000-0100-000002000000}">
      <formula1>"کمتر از 720 روز, بیش از 720 روز"</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1444E-FEE6-4F53-A15A-AF6BFB3AA19C}">
  <sheetPr>
    <tabColor theme="9"/>
  </sheetPr>
  <dimension ref="B1:H20"/>
  <sheetViews>
    <sheetView rightToLeft="1" topLeftCell="A7" workbookViewId="0">
      <selection activeCell="I8" sqref="I8"/>
    </sheetView>
  </sheetViews>
  <sheetFormatPr defaultRowHeight="15"/>
  <cols>
    <col min="1" max="1" width="3" customWidth="1"/>
    <col min="2" max="2" width="12.75" customWidth="1"/>
    <col min="3" max="3" width="16.5" customWidth="1"/>
    <col min="4" max="4" width="15.875" customWidth="1"/>
    <col min="5" max="5" width="17.375" customWidth="1"/>
    <col min="6" max="6" width="9" customWidth="1"/>
    <col min="7" max="7" width="18.375" customWidth="1"/>
    <col min="8" max="8" width="19.875" customWidth="1"/>
  </cols>
  <sheetData>
    <row r="1" spans="2:8" ht="18">
      <c r="B1" s="14"/>
      <c r="C1" s="14"/>
      <c r="D1" s="14"/>
      <c r="E1" s="14"/>
      <c r="F1" s="14"/>
      <c r="G1" s="14"/>
      <c r="H1" s="14"/>
    </row>
    <row r="2" spans="2:8" ht="24">
      <c r="B2" s="97" t="s">
        <v>29</v>
      </c>
      <c r="C2" s="98"/>
      <c r="D2" s="98"/>
      <c r="E2" s="98"/>
      <c r="F2" s="95" t="s">
        <v>30</v>
      </c>
      <c r="G2" s="95" t="s">
        <v>31</v>
      </c>
      <c r="H2" s="95" t="s">
        <v>32</v>
      </c>
    </row>
    <row r="3" spans="2:8" ht="24">
      <c r="B3" s="15" t="s">
        <v>33</v>
      </c>
      <c r="C3" s="15" t="s">
        <v>34</v>
      </c>
      <c r="D3" s="15" t="s">
        <v>35</v>
      </c>
      <c r="E3" s="15" t="s">
        <v>36</v>
      </c>
      <c r="F3" s="96"/>
      <c r="G3" s="96"/>
      <c r="H3" s="96"/>
    </row>
    <row r="4" spans="2:8" ht="20.25">
      <c r="B4" s="16" t="s">
        <v>37</v>
      </c>
      <c r="C4" s="17">
        <v>0</v>
      </c>
      <c r="D4" s="17">
        <f>D14/12</f>
        <v>40000000</v>
      </c>
      <c r="E4" s="17">
        <f>D4-C4</f>
        <v>40000000</v>
      </c>
      <c r="F4" s="18">
        <v>0</v>
      </c>
      <c r="G4" s="17">
        <f>E4*F4</f>
        <v>0</v>
      </c>
      <c r="H4" s="16">
        <v>0</v>
      </c>
    </row>
    <row r="5" spans="2:8" ht="20.25">
      <c r="B5" s="16" t="s">
        <v>38</v>
      </c>
      <c r="C5" s="17">
        <f t="shared" ref="C5:C10" si="0">D4+1</f>
        <v>40000001</v>
      </c>
      <c r="D5" s="17">
        <f t="shared" ref="D5:D9" si="1">D15/12</f>
        <v>80000000</v>
      </c>
      <c r="E5" s="17">
        <f>D5-C5+1</f>
        <v>40000000</v>
      </c>
      <c r="F5" s="18">
        <v>0.1</v>
      </c>
      <c r="G5" s="17">
        <f t="shared" ref="G5:G9" si="2">E5*F5</f>
        <v>4000000</v>
      </c>
      <c r="H5" s="17">
        <f>SUM($G$5:G5)</f>
        <v>4000000</v>
      </c>
    </row>
    <row r="6" spans="2:8" ht="20.25">
      <c r="B6" s="16" t="s">
        <v>39</v>
      </c>
      <c r="C6" s="17">
        <f t="shared" si="0"/>
        <v>80000001</v>
      </c>
      <c r="D6" s="17">
        <f t="shared" si="1"/>
        <v>120000000</v>
      </c>
      <c r="E6" s="17">
        <f t="shared" ref="E6:E9" si="3">D6-C6+1</f>
        <v>40000000</v>
      </c>
      <c r="F6" s="18">
        <v>0.15</v>
      </c>
      <c r="G6" s="17">
        <f t="shared" si="2"/>
        <v>6000000</v>
      </c>
      <c r="H6" s="17">
        <f>SUM($G$5:G6)</f>
        <v>10000000</v>
      </c>
    </row>
    <row r="7" spans="2:8" ht="20.25">
      <c r="B7" s="16" t="s">
        <v>40</v>
      </c>
      <c r="C7" s="17">
        <f t="shared" si="0"/>
        <v>120000001</v>
      </c>
      <c r="D7" s="17">
        <f t="shared" si="1"/>
        <v>180000000</v>
      </c>
      <c r="E7" s="17">
        <f t="shared" si="3"/>
        <v>60000000</v>
      </c>
      <c r="F7" s="18">
        <v>0.2</v>
      </c>
      <c r="G7" s="17">
        <f t="shared" si="2"/>
        <v>12000000</v>
      </c>
      <c r="H7" s="17">
        <f>SUM($G$5:G7)</f>
        <v>22000000</v>
      </c>
    </row>
    <row r="8" spans="2:8" ht="20.25">
      <c r="B8" s="19" t="s">
        <v>41</v>
      </c>
      <c r="C8" s="17">
        <f t="shared" si="0"/>
        <v>180000001</v>
      </c>
      <c r="D8" s="17">
        <f t="shared" si="1"/>
        <v>240000000</v>
      </c>
      <c r="E8" s="17">
        <f t="shared" si="3"/>
        <v>60000000</v>
      </c>
      <c r="F8" s="18">
        <v>0.25</v>
      </c>
      <c r="G8" s="17">
        <f t="shared" si="2"/>
        <v>15000000</v>
      </c>
      <c r="H8" s="17">
        <f>SUM($G$5:G8)</f>
        <v>37000000</v>
      </c>
    </row>
    <row r="9" spans="2:8" ht="20.25">
      <c r="B9" s="19" t="s">
        <v>42</v>
      </c>
      <c r="C9" s="17">
        <f t="shared" si="0"/>
        <v>240000001</v>
      </c>
      <c r="D9" s="17">
        <f t="shared" si="1"/>
        <v>320000000</v>
      </c>
      <c r="E9" s="17">
        <f t="shared" si="3"/>
        <v>80000000</v>
      </c>
      <c r="F9" s="18">
        <v>0.3</v>
      </c>
      <c r="G9" s="17">
        <f t="shared" si="2"/>
        <v>24000000</v>
      </c>
      <c r="H9" s="17">
        <f>SUM($G$5:G9)</f>
        <v>61000000</v>
      </c>
    </row>
    <row r="10" spans="2:8" ht="20.25">
      <c r="B10" s="19" t="s">
        <v>43</v>
      </c>
      <c r="C10" s="17">
        <f t="shared" si="0"/>
        <v>320000001</v>
      </c>
      <c r="D10" s="17"/>
      <c r="E10" s="17"/>
      <c r="F10" s="18">
        <v>0.35</v>
      </c>
      <c r="G10" s="17"/>
      <c r="H10" s="17"/>
    </row>
    <row r="11" spans="2:8" ht="18">
      <c r="B11" s="20"/>
      <c r="C11" s="20"/>
      <c r="D11" s="20"/>
      <c r="E11" s="20"/>
      <c r="F11" s="20"/>
      <c r="G11" s="20"/>
      <c r="H11" s="20"/>
    </row>
    <row r="12" spans="2:8" ht="24" customHeight="1">
      <c r="B12" s="97" t="s">
        <v>44</v>
      </c>
      <c r="C12" s="98"/>
      <c r="D12" s="98"/>
      <c r="E12" s="98"/>
      <c r="F12" s="95" t="s">
        <v>30</v>
      </c>
      <c r="G12" s="95" t="s">
        <v>31</v>
      </c>
      <c r="H12" s="95" t="s">
        <v>32</v>
      </c>
    </row>
    <row r="13" spans="2:8" ht="24">
      <c r="B13" s="15" t="s">
        <v>33</v>
      </c>
      <c r="C13" s="15" t="s">
        <v>34</v>
      </c>
      <c r="D13" s="15" t="s">
        <v>35</v>
      </c>
      <c r="E13" s="15" t="s">
        <v>36</v>
      </c>
      <c r="F13" s="96"/>
      <c r="G13" s="96"/>
      <c r="H13" s="96"/>
    </row>
    <row r="14" spans="2:8" ht="20.25">
      <c r="B14" s="16" t="s">
        <v>37</v>
      </c>
      <c r="C14" s="17">
        <v>0</v>
      </c>
      <c r="D14" s="17">
        <v>480000000</v>
      </c>
      <c r="E14" s="17">
        <f>D14-C14</f>
        <v>480000000</v>
      </c>
      <c r="F14" s="18">
        <v>0</v>
      </c>
      <c r="G14" s="17">
        <f>E14*F14</f>
        <v>0</v>
      </c>
      <c r="H14" s="16">
        <v>0</v>
      </c>
    </row>
    <row r="15" spans="2:8" ht="20.25">
      <c r="B15" s="16" t="s">
        <v>38</v>
      </c>
      <c r="C15" s="17">
        <f t="shared" ref="C15:C20" si="4">D14+1</f>
        <v>480000001</v>
      </c>
      <c r="D15" s="17">
        <v>960000000</v>
      </c>
      <c r="E15" s="17">
        <f>D15-C15+1</f>
        <v>480000000</v>
      </c>
      <c r="F15" s="18">
        <v>0.1</v>
      </c>
      <c r="G15" s="17">
        <f t="shared" ref="G15:G19" si="5">E15*F15</f>
        <v>48000000</v>
      </c>
      <c r="H15" s="17">
        <f>SUM($G$14:G15)</f>
        <v>48000000</v>
      </c>
    </row>
    <row r="16" spans="2:8" ht="20.25">
      <c r="B16" s="16" t="s">
        <v>39</v>
      </c>
      <c r="C16" s="17">
        <f t="shared" si="4"/>
        <v>960000001</v>
      </c>
      <c r="D16" s="17">
        <v>1440000000</v>
      </c>
      <c r="E16" s="17">
        <f t="shared" ref="E16:E19" si="6">D16-C16+1</f>
        <v>480000000</v>
      </c>
      <c r="F16" s="18">
        <v>0.15</v>
      </c>
      <c r="G16" s="17">
        <f t="shared" si="5"/>
        <v>72000000</v>
      </c>
      <c r="H16" s="17">
        <f>SUM($G$14:G16)</f>
        <v>120000000</v>
      </c>
    </row>
    <row r="17" spans="2:8" ht="20.25">
      <c r="B17" s="16" t="s">
        <v>40</v>
      </c>
      <c r="C17" s="17">
        <f t="shared" si="4"/>
        <v>1440000001</v>
      </c>
      <c r="D17" s="17">
        <v>2160000000</v>
      </c>
      <c r="E17" s="17">
        <f t="shared" si="6"/>
        <v>720000000</v>
      </c>
      <c r="F17" s="18">
        <v>0.2</v>
      </c>
      <c r="G17" s="17">
        <f t="shared" si="5"/>
        <v>144000000</v>
      </c>
      <c r="H17" s="17">
        <f>SUM($G$14:G17)</f>
        <v>264000000</v>
      </c>
    </row>
    <row r="18" spans="2:8" ht="20.25">
      <c r="B18" s="19" t="s">
        <v>41</v>
      </c>
      <c r="C18" s="17">
        <f t="shared" si="4"/>
        <v>2160000001</v>
      </c>
      <c r="D18" s="17">
        <v>2880000000</v>
      </c>
      <c r="E18" s="17">
        <f t="shared" si="6"/>
        <v>720000000</v>
      </c>
      <c r="F18" s="18">
        <v>0.25</v>
      </c>
      <c r="G18" s="17">
        <f t="shared" si="5"/>
        <v>180000000</v>
      </c>
      <c r="H18" s="17">
        <f>SUM($G$14:G18)</f>
        <v>444000000</v>
      </c>
    </row>
    <row r="19" spans="2:8" ht="20.25">
      <c r="B19" s="19" t="s">
        <v>42</v>
      </c>
      <c r="C19" s="17">
        <f t="shared" si="4"/>
        <v>2880000001</v>
      </c>
      <c r="D19" s="17">
        <v>3840000000</v>
      </c>
      <c r="E19" s="17">
        <f t="shared" si="6"/>
        <v>960000000</v>
      </c>
      <c r="F19" s="18">
        <v>0.3</v>
      </c>
      <c r="G19" s="17">
        <f t="shared" si="5"/>
        <v>288000000</v>
      </c>
      <c r="H19" s="17">
        <f>SUM($G$14:G19)</f>
        <v>732000000</v>
      </c>
    </row>
    <row r="20" spans="2:8" ht="20.25">
      <c r="B20" s="19" t="s">
        <v>43</v>
      </c>
      <c r="C20" s="17">
        <f t="shared" si="4"/>
        <v>3840000001</v>
      </c>
      <c r="D20" s="17"/>
      <c r="E20" s="17"/>
      <c r="F20" s="18">
        <v>0.35</v>
      </c>
      <c r="G20" s="17"/>
      <c r="H20" s="17"/>
    </row>
  </sheetData>
  <sheetProtection algorithmName="SHA-512" hashValue="SpEJcs+EcRQjNp2JS7gTmJGkgIgle6YnqBdk+toOzSJAhnakvmp2RCbVF86HLanRcUJ7c07Gzj2OrXEvHYDZ0g==" saltValue="RSRI9ynZiJcqXys7UyId/w==" spinCount="100000" sheet="1" objects="1" scenarios="1" selectLockedCells="1" selectUnlockedCells="1"/>
  <mergeCells count="8">
    <mergeCell ref="H2:H3"/>
    <mergeCell ref="B12:E12"/>
    <mergeCell ref="H12:H13"/>
    <mergeCell ref="F2:F3"/>
    <mergeCell ref="G2:G3"/>
    <mergeCell ref="F12:F13"/>
    <mergeCell ref="G12:G13"/>
    <mergeCell ref="B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7D66E-63D2-4DC0-AFB9-A814CF16611D}">
  <sheetPr>
    <tabColor theme="1"/>
  </sheetPr>
  <dimension ref="A1:C20"/>
  <sheetViews>
    <sheetView rightToLeft="1" workbookViewId="0">
      <selection activeCell="E14" sqref="E14"/>
    </sheetView>
  </sheetViews>
  <sheetFormatPr defaultRowHeight="15"/>
  <cols>
    <col min="2" max="2" width="31.375" customWidth="1"/>
    <col min="3" max="3" width="29.875" customWidth="1"/>
  </cols>
  <sheetData>
    <row r="1" spans="1:3" ht="17.25" customHeight="1" thickTop="1" thickBot="1">
      <c r="A1" s="99" t="s">
        <v>76</v>
      </c>
      <c r="B1" s="100"/>
      <c r="C1" s="101"/>
    </row>
    <row r="2" spans="1:3" ht="17.25" customHeight="1" thickTop="1" thickBot="1">
      <c r="A2" s="24"/>
      <c r="B2" s="25"/>
      <c r="C2" s="26"/>
    </row>
    <row r="3" spans="1:3" ht="17.25" customHeight="1" thickTop="1">
      <c r="A3" s="30">
        <v>1</v>
      </c>
      <c r="B3" s="27" t="s">
        <v>77</v>
      </c>
      <c r="C3" s="87">
        <v>885165</v>
      </c>
    </row>
    <row r="4" spans="1:3" ht="17.25" customHeight="1">
      <c r="A4" s="30">
        <v>2</v>
      </c>
      <c r="B4" s="27" t="s">
        <v>78</v>
      </c>
      <c r="C4" s="87">
        <f>C3*30</f>
        <v>26554950</v>
      </c>
    </row>
    <row r="5" spans="1:3" ht="17.25" customHeight="1">
      <c r="A5" s="30">
        <v>3</v>
      </c>
      <c r="B5" s="27" t="s">
        <v>79</v>
      </c>
      <c r="C5" s="87">
        <v>4500000</v>
      </c>
    </row>
    <row r="6" spans="1:3" ht="17.25" customHeight="1">
      <c r="A6" s="30">
        <v>4</v>
      </c>
      <c r="B6" s="27" t="s">
        <v>80</v>
      </c>
      <c r="C6" s="87">
        <v>6000000</v>
      </c>
    </row>
    <row r="7" spans="1:3" ht="17.25" customHeight="1">
      <c r="A7" s="30">
        <v>5</v>
      </c>
      <c r="B7" s="27" t="s">
        <v>81</v>
      </c>
      <c r="C7" s="87">
        <f>C3*3</f>
        <v>2655495</v>
      </c>
    </row>
    <row r="8" spans="1:3" ht="17.25" customHeight="1">
      <c r="A8" s="30">
        <v>6</v>
      </c>
      <c r="B8" s="27" t="s">
        <v>82</v>
      </c>
      <c r="C8" s="87">
        <f>2*C7</f>
        <v>5310990</v>
      </c>
    </row>
    <row r="9" spans="1:3" ht="17.25" customHeight="1">
      <c r="A9" s="30">
        <v>7</v>
      </c>
      <c r="B9" s="27" t="s">
        <v>83</v>
      </c>
      <c r="C9" s="87">
        <v>46667</v>
      </c>
    </row>
    <row r="10" spans="1:3" ht="17.25" customHeight="1">
      <c r="A10" s="30">
        <v>8</v>
      </c>
      <c r="B10" s="27" t="s">
        <v>84</v>
      </c>
      <c r="C10" s="87">
        <f>(C9*30)+C7+C6+C5+C4</f>
        <v>41110455</v>
      </c>
    </row>
    <row r="11" spans="1:3" ht="17.25" customHeight="1">
      <c r="A11" s="30">
        <v>9</v>
      </c>
      <c r="B11" s="27" t="s">
        <v>85</v>
      </c>
      <c r="C11" s="87">
        <f>2*30*C3</f>
        <v>53109900</v>
      </c>
    </row>
    <row r="12" spans="1:3" ht="17.25" customHeight="1">
      <c r="A12" s="30">
        <v>10</v>
      </c>
      <c r="B12" s="27" t="s">
        <v>86</v>
      </c>
      <c r="C12" s="87">
        <f>30*3*C3</f>
        <v>79664850</v>
      </c>
    </row>
    <row r="13" spans="1:3" ht="17.25" customHeight="1">
      <c r="A13" s="30">
        <v>11</v>
      </c>
      <c r="B13" s="27" t="s">
        <v>87</v>
      </c>
      <c r="C13" s="87">
        <v>40000000</v>
      </c>
    </row>
    <row r="14" spans="1:3" ht="17.25" customHeight="1">
      <c r="A14" s="30">
        <v>12</v>
      </c>
      <c r="B14" s="27" t="s">
        <v>88</v>
      </c>
      <c r="C14" s="88">
        <v>26</v>
      </c>
    </row>
    <row r="15" spans="1:3" ht="17.25" customHeight="1">
      <c r="A15" s="30">
        <v>13</v>
      </c>
      <c r="B15" s="27" t="s">
        <v>89</v>
      </c>
      <c r="C15" s="89">
        <f>(C17*26)/12</f>
        <v>0.66203703703703698</v>
      </c>
    </row>
    <row r="16" spans="1:3" ht="17.25" customHeight="1">
      <c r="A16" s="30">
        <v>14</v>
      </c>
      <c r="B16" s="27" t="s">
        <v>90</v>
      </c>
      <c r="C16" s="88">
        <v>6</v>
      </c>
    </row>
    <row r="17" spans="1:3" ht="17.25" customHeight="1">
      <c r="A17" s="30">
        <v>15</v>
      </c>
      <c r="B17" s="28" t="s">
        <v>91</v>
      </c>
      <c r="C17" s="89">
        <v>0.30555555555555552</v>
      </c>
    </row>
    <row r="18" spans="1:3" ht="17.25" customHeight="1">
      <c r="A18" s="30">
        <v>16</v>
      </c>
      <c r="B18" s="28" t="s">
        <v>92</v>
      </c>
      <c r="C18" s="90">
        <v>365</v>
      </c>
    </row>
    <row r="19" spans="1:3" ht="17.25" customHeight="1" thickBot="1">
      <c r="A19" s="31">
        <v>17</v>
      </c>
      <c r="B19" s="29" t="s">
        <v>93</v>
      </c>
      <c r="C19" s="91">
        <f>C3*30*7</f>
        <v>185884650</v>
      </c>
    </row>
    <row r="20" spans="1:3" ht="15.75" thickTop="1"/>
  </sheetData>
  <sheetProtection algorithmName="SHA-512" hashValue="UodOUwsDE8ffEkdIBMhS7PDPEiLAgTgIGr+oJGJZnfaGjnIss5hX5WI5JbqLSLmC2SiqPtzb781hz+3U29GodA==" saltValue="gQvSellVYZ09yS0xMO5qxw==" spinCount="100000" sheet="1" objects="1" scenarios="1" selectLockedCells="1" selectUnlockedCells="1"/>
  <mergeCells count="1">
    <mergeCell ref="A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9FD15-DFEA-4D88-AB19-86EA1653A732}">
  <sheetPr>
    <tabColor theme="4"/>
  </sheetPr>
  <dimension ref="A1:B30"/>
  <sheetViews>
    <sheetView rightToLeft="1" topLeftCell="A17" workbookViewId="0">
      <selection activeCell="B28" sqref="B28"/>
    </sheetView>
  </sheetViews>
  <sheetFormatPr defaultRowHeight="15"/>
  <cols>
    <col min="1" max="1" width="9" customWidth="1"/>
    <col min="2" max="2" width="108.25" customWidth="1"/>
  </cols>
  <sheetData>
    <row r="1" spans="1:2" ht="30.75" customHeight="1">
      <c r="A1" s="21" t="s">
        <v>45</v>
      </c>
      <c r="B1" s="21" t="s">
        <v>46</v>
      </c>
    </row>
    <row r="2" spans="1:2" ht="30.75" customHeight="1">
      <c r="A2" s="22">
        <v>1</v>
      </c>
      <c r="B2" s="23" t="s">
        <v>47</v>
      </c>
    </row>
    <row r="3" spans="1:2" ht="36" customHeight="1">
      <c r="A3" s="22">
        <v>2</v>
      </c>
      <c r="B3" s="23" t="s">
        <v>48</v>
      </c>
    </row>
    <row r="4" spans="1:2" ht="30.75" customHeight="1">
      <c r="A4" s="22">
        <v>3</v>
      </c>
      <c r="B4" s="23" t="s">
        <v>49</v>
      </c>
    </row>
    <row r="5" spans="1:2" ht="30.75" customHeight="1">
      <c r="A5" s="102" t="s">
        <v>50</v>
      </c>
      <c r="B5" s="103"/>
    </row>
    <row r="6" spans="1:2" ht="61.5" customHeight="1">
      <c r="A6" s="22">
        <v>1</v>
      </c>
      <c r="B6" s="23" t="s">
        <v>51</v>
      </c>
    </row>
    <row r="7" spans="1:2" ht="45" customHeight="1">
      <c r="A7" s="22">
        <v>2</v>
      </c>
      <c r="B7" s="23" t="s">
        <v>52</v>
      </c>
    </row>
    <row r="8" spans="1:2" ht="48" customHeight="1">
      <c r="A8" s="22">
        <v>3</v>
      </c>
      <c r="B8" s="23" t="s">
        <v>53</v>
      </c>
    </row>
    <row r="9" spans="1:2" ht="41.25" customHeight="1">
      <c r="A9" s="22">
        <v>4</v>
      </c>
      <c r="B9" s="23" t="s">
        <v>54</v>
      </c>
    </row>
    <row r="10" spans="1:2" ht="44.25" customHeight="1">
      <c r="A10" s="22">
        <v>5</v>
      </c>
      <c r="B10" s="23" t="s">
        <v>55</v>
      </c>
    </row>
    <row r="11" spans="1:2" ht="42.75" customHeight="1">
      <c r="A11" s="22">
        <v>6</v>
      </c>
      <c r="B11" s="23" t="s">
        <v>56</v>
      </c>
    </row>
    <row r="12" spans="1:2" ht="30.75" customHeight="1">
      <c r="A12" s="22">
        <v>7</v>
      </c>
      <c r="B12" s="23" t="s">
        <v>57</v>
      </c>
    </row>
    <row r="13" spans="1:2" ht="30.75" customHeight="1">
      <c r="A13" s="22">
        <v>8</v>
      </c>
      <c r="B13" s="23" t="s">
        <v>58</v>
      </c>
    </row>
    <row r="14" spans="1:2" ht="30.75" customHeight="1">
      <c r="A14" s="22">
        <v>9</v>
      </c>
      <c r="B14" s="23" t="s">
        <v>59</v>
      </c>
    </row>
    <row r="15" spans="1:2" ht="30.75" customHeight="1">
      <c r="A15" s="22">
        <v>10</v>
      </c>
      <c r="B15" s="23" t="s">
        <v>60</v>
      </c>
    </row>
    <row r="16" spans="1:2" ht="43.5" customHeight="1">
      <c r="A16" s="22">
        <v>11</v>
      </c>
      <c r="B16" s="23" t="s">
        <v>61</v>
      </c>
    </row>
    <row r="17" spans="1:2" ht="30.75" customHeight="1">
      <c r="A17" s="22">
        <v>12</v>
      </c>
      <c r="B17" s="23" t="s">
        <v>62</v>
      </c>
    </row>
    <row r="18" spans="1:2" ht="30.75" customHeight="1">
      <c r="A18" s="22">
        <v>13</v>
      </c>
      <c r="B18" s="23" t="s">
        <v>63</v>
      </c>
    </row>
    <row r="19" spans="1:2" ht="30.75" customHeight="1">
      <c r="A19" s="22">
        <v>14</v>
      </c>
      <c r="B19" s="23" t="s">
        <v>64</v>
      </c>
    </row>
    <row r="20" spans="1:2" ht="26.25" customHeight="1">
      <c r="A20" s="21" t="s">
        <v>45</v>
      </c>
      <c r="B20" s="21" t="s">
        <v>65</v>
      </c>
    </row>
    <row r="21" spans="1:2" ht="24.75" customHeight="1">
      <c r="A21" s="22">
        <v>1</v>
      </c>
      <c r="B21" s="23" t="s">
        <v>66</v>
      </c>
    </row>
    <row r="22" spans="1:2" ht="24.75" customHeight="1">
      <c r="A22" s="22">
        <v>2</v>
      </c>
      <c r="B22" s="23" t="s">
        <v>67</v>
      </c>
    </row>
    <row r="23" spans="1:2" ht="24.75" customHeight="1">
      <c r="A23" s="22">
        <v>3</v>
      </c>
      <c r="B23" s="23" t="s">
        <v>68</v>
      </c>
    </row>
    <row r="24" spans="1:2" ht="24.75" customHeight="1">
      <c r="A24" s="22">
        <v>4</v>
      </c>
      <c r="B24" s="23" t="s">
        <v>69</v>
      </c>
    </row>
    <row r="25" spans="1:2" ht="24.75" customHeight="1">
      <c r="A25" s="22">
        <v>5</v>
      </c>
      <c r="B25" s="23" t="s">
        <v>70</v>
      </c>
    </row>
    <row r="26" spans="1:2" ht="24.75" customHeight="1">
      <c r="A26" s="22">
        <v>6</v>
      </c>
      <c r="B26" s="23" t="s">
        <v>71</v>
      </c>
    </row>
    <row r="27" spans="1:2" ht="24.75" customHeight="1">
      <c r="A27" s="22">
        <v>7</v>
      </c>
      <c r="B27" s="23" t="s">
        <v>72</v>
      </c>
    </row>
    <row r="28" spans="1:2" ht="24.75" customHeight="1">
      <c r="A28" s="22">
        <v>8</v>
      </c>
      <c r="B28" s="23" t="s">
        <v>73</v>
      </c>
    </row>
    <row r="29" spans="1:2" ht="24.75" customHeight="1">
      <c r="A29" s="22">
        <v>9</v>
      </c>
      <c r="B29" s="23" t="s">
        <v>74</v>
      </c>
    </row>
    <row r="30" spans="1:2" ht="24.75" customHeight="1">
      <c r="A30" s="22">
        <v>10</v>
      </c>
      <c r="B30" s="23" t="s">
        <v>75</v>
      </c>
    </row>
  </sheetData>
  <sheetProtection algorithmName="SHA-512" hashValue="F3a7B8Fe2VFVK6T+tgTyL8lcMg6wCkoDexeuIMmdg7kFgaLWCQF+MmHkj3bS42TAAlu8tpaFzIy5HHMBpTKYXQ==" saltValue="HrD61LwZ64f7pZSz9CwVhg==" spinCount="100000" sheet="1" objects="1" scenarios="1" selectLockedCells="1" selectUnlockedCells="1"/>
  <mergeCells count="1">
    <mergeCell ref="A5:B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06B2D-6791-44E5-A5C2-A58EF5705A15}">
  <sheetPr>
    <tabColor rgb="FF7030A0"/>
  </sheetPr>
  <dimension ref="A1:W445"/>
  <sheetViews>
    <sheetView rightToLeft="1" view="pageBreakPreview" zoomScale="60" zoomScaleNormal="60" workbookViewId="0">
      <selection activeCell="N11" sqref="N11"/>
    </sheetView>
  </sheetViews>
  <sheetFormatPr defaultColWidth="9" defaultRowHeight="14.25"/>
  <cols>
    <col min="1" max="1" width="1.625" style="32" customWidth="1"/>
    <col min="2" max="2" width="1.625" style="32" hidden="1" customWidth="1"/>
    <col min="3" max="3" width="5.5" style="32" customWidth="1"/>
    <col min="4" max="5" width="14.625" style="32" customWidth="1"/>
    <col min="6" max="6" width="6.625" style="32" customWidth="1"/>
    <col min="7" max="7" width="15.625" style="32" customWidth="1"/>
    <col min="8" max="8" width="18.5" style="32" customWidth="1"/>
    <col min="9" max="9" width="14.625" style="32" customWidth="1"/>
    <col min="10" max="10" width="16.5" style="33" customWidth="1"/>
    <col min="11" max="11" width="15.625" style="32" customWidth="1"/>
    <col min="12" max="12" width="8.625" style="32" customWidth="1"/>
    <col min="13" max="14" width="16.5" style="32" customWidth="1"/>
    <col min="15" max="17" width="18.5" style="32" customWidth="1"/>
    <col min="18" max="18" width="13.75" style="32" customWidth="1"/>
    <col min="19" max="22" width="16.5" style="32" customWidth="1"/>
    <col min="23" max="23" width="18.5" style="32" customWidth="1"/>
    <col min="24" max="16384" width="9" style="32"/>
  </cols>
  <sheetData>
    <row r="1" spans="1:23" ht="9.9499999999999993" customHeight="1"/>
    <row r="2" spans="1:23" s="33" customFormat="1" ht="39.950000000000003" customHeight="1">
      <c r="A2" s="34"/>
      <c r="B2" s="34"/>
      <c r="C2" s="111" t="s">
        <v>94</v>
      </c>
      <c r="D2" s="111"/>
      <c r="E2" s="111"/>
      <c r="F2" s="111"/>
      <c r="G2" s="111"/>
      <c r="H2" s="111"/>
      <c r="I2" s="111"/>
      <c r="J2" s="111"/>
      <c r="K2" s="111"/>
      <c r="L2" s="111"/>
      <c r="M2" s="111"/>
      <c r="N2" s="111"/>
      <c r="O2" s="111"/>
      <c r="P2" s="111"/>
      <c r="Q2" s="111"/>
      <c r="R2" s="111"/>
      <c r="S2" s="111"/>
      <c r="T2" s="111"/>
      <c r="U2" s="111"/>
      <c r="V2" s="111"/>
      <c r="W2" s="111"/>
    </row>
    <row r="3" spans="1:23" s="33" customFormat="1" ht="50.1" customHeight="1">
      <c r="C3" s="112" t="s">
        <v>95</v>
      </c>
      <c r="D3" s="112"/>
      <c r="E3" s="112"/>
      <c r="F3" s="112"/>
      <c r="G3" s="112"/>
      <c r="H3" s="112"/>
      <c r="I3" s="112"/>
      <c r="J3" s="112"/>
      <c r="K3" s="112"/>
      <c r="L3" s="112"/>
      <c r="M3" s="112"/>
      <c r="N3" s="112"/>
      <c r="O3" s="112"/>
      <c r="P3" s="112"/>
      <c r="Q3" s="112"/>
      <c r="R3" s="112"/>
      <c r="S3" s="112"/>
      <c r="T3" s="112"/>
      <c r="U3" s="112"/>
      <c r="V3" s="112"/>
      <c r="W3" s="112"/>
    </row>
    <row r="4" spans="1:23" s="35" customFormat="1" ht="84.75" customHeight="1">
      <c r="C4" s="104" t="s">
        <v>45</v>
      </c>
      <c r="D4" s="36" t="s">
        <v>96</v>
      </c>
      <c r="E4" s="36" t="s">
        <v>97</v>
      </c>
      <c r="F4" s="36" t="s">
        <v>98</v>
      </c>
      <c r="G4" s="36" t="s">
        <v>99</v>
      </c>
      <c r="H4" s="36" t="s">
        <v>100</v>
      </c>
      <c r="I4" s="36" t="s">
        <v>101</v>
      </c>
      <c r="J4" s="36" t="s">
        <v>102</v>
      </c>
      <c r="K4" s="36" t="s">
        <v>17</v>
      </c>
      <c r="L4" s="36" t="s">
        <v>103</v>
      </c>
      <c r="M4" s="36" t="s">
        <v>104</v>
      </c>
      <c r="N4" s="36" t="s">
        <v>105</v>
      </c>
      <c r="O4" s="36" t="s">
        <v>106</v>
      </c>
      <c r="P4" s="36" t="s">
        <v>107</v>
      </c>
      <c r="Q4" s="36" t="s">
        <v>108</v>
      </c>
      <c r="R4" s="36" t="s">
        <v>109</v>
      </c>
      <c r="S4" s="36" t="s">
        <v>110</v>
      </c>
      <c r="T4" s="36" t="s">
        <v>111</v>
      </c>
      <c r="U4" s="36" t="s">
        <v>112</v>
      </c>
      <c r="V4" s="36" t="s">
        <v>113</v>
      </c>
      <c r="W4" s="36" t="s">
        <v>114</v>
      </c>
    </row>
    <row r="5" spans="1:23" s="33" customFormat="1" ht="32.1" customHeight="1">
      <c r="C5" s="104"/>
      <c r="D5" s="37">
        <v>1</v>
      </c>
      <c r="E5" s="37">
        <v>2</v>
      </c>
      <c r="F5" s="37">
        <v>3</v>
      </c>
      <c r="G5" s="37">
        <v>4</v>
      </c>
      <c r="H5" s="37">
        <v>5</v>
      </c>
      <c r="I5" s="37">
        <v>6</v>
      </c>
      <c r="J5" s="37">
        <v>7</v>
      </c>
      <c r="K5" s="37">
        <v>8</v>
      </c>
      <c r="L5" s="37">
        <v>9</v>
      </c>
      <c r="M5" s="37">
        <v>10</v>
      </c>
      <c r="N5" s="37">
        <v>11</v>
      </c>
      <c r="O5" s="37">
        <v>12</v>
      </c>
      <c r="P5" s="37">
        <v>13</v>
      </c>
      <c r="Q5" s="37">
        <v>14</v>
      </c>
      <c r="R5" s="37">
        <v>15</v>
      </c>
      <c r="S5" s="37">
        <v>16</v>
      </c>
      <c r="T5" s="37">
        <v>17</v>
      </c>
      <c r="U5" s="37">
        <v>18</v>
      </c>
      <c r="V5" s="37">
        <v>19</v>
      </c>
      <c r="W5" s="38">
        <v>20</v>
      </c>
    </row>
    <row r="6" spans="1:23" s="33" customFormat="1" ht="20.100000000000001" customHeight="1">
      <c r="C6" s="39" t="s">
        <v>45</v>
      </c>
      <c r="D6" s="39" t="s">
        <v>96</v>
      </c>
      <c r="E6" s="39" t="s">
        <v>97</v>
      </c>
      <c r="F6" s="39" t="s">
        <v>98</v>
      </c>
      <c r="G6" s="39" t="s">
        <v>99</v>
      </c>
      <c r="H6" s="39" t="s">
        <v>100</v>
      </c>
      <c r="I6" s="39" t="s">
        <v>115</v>
      </c>
      <c r="J6" s="39" t="s">
        <v>102</v>
      </c>
      <c r="K6" s="39" t="s">
        <v>17</v>
      </c>
      <c r="L6" s="39" t="s">
        <v>116</v>
      </c>
      <c r="M6" s="39" t="s">
        <v>104</v>
      </c>
      <c r="N6" s="39" t="s">
        <v>117</v>
      </c>
      <c r="O6" s="39" t="s">
        <v>118</v>
      </c>
      <c r="P6" s="39" t="s">
        <v>119</v>
      </c>
      <c r="Q6" s="40" t="s">
        <v>120</v>
      </c>
      <c r="R6" s="39" t="s">
        <v>109</v>
      </c>
      <c r="S6" s="39" t="s">
        <v>110</v>
      </c>
      <c r="T6" s="40" t="s">
        <v>121</v>
      </c>
      <c r="U6" s="40" t="s">
        <v>14</v>
      </c>
      <c r="V6" s="39" t="s">
        <v>113</v>
      </c>
      <c r="W6" s="39" t="s">
        <v>122</v>
      </c>
    </row>
    <row r="7" spans="1:23" s="41" customFormat="1" ht="32.1" customHeight="1">
      <c r="B7" s="41">
        <v>1</v>
      </c>
      <c r="C7" s="42">
        <f>IF(ج_ح_فروردین14[[#This Row],[نام]]&lt;&gt;"",ROW()-7+1,"")</f>
        <v>1</v>
      </c>
      <c r="D7" s="43" t="s">
        <v>123</v>
      </c>
      <c r="E7" s="43" t="s">
        <v>123</v>
      </c>
      <c r="F7" s="44">
        <v>31</v>
      </c>
      <c r="G7" s="45">
        <v>1000000</v>
      </c>
      <c r="H7" s="46">
        <f>IF(ج_ح_فروردین14[[#This Row],[کارکرد]]*ج_ح_فروردین14[[#This Row],[دستمزد روزانه ]]=0,"",ج_ح_فروردین14[[#This Row],[کارکرد]]*ج_ح_فروردین14[[#This Row],[دستمزد روزانه ]])</f>
        <v>31000000</v>
      </c>
      <c r="I7" s="47">
        <v>7.33</v>
      </c>
      <c r="J7" s="48">
        <f>(ج_ح_فروردین14[[#This Row],[دستمزد روزانه ]]/7.33)*1.4*ج_ح_فروردین14[[#This Row],[مدت اضافه کاری ]]</f>
        <v>1400000</v>
      </c>
      <c r="K7" s="46">
        <f>IF(ج_ح_فروردین14[[#This Row],[کارکرد]]="","",ج_ح_فروردین14[[#This Row],[کارکرد]]*حق_مسکن/30)</f>
        <v>0</v>
      </c>
      <c r="L7" s="49">
        <v>1</v>
      </c>
      <c r="M7" s="46">
        <f>IF(ج_ح_فروردین14[[#This Row],[تعداد فرزندان]]="","",ج_ح_فروردین14[[#This Row],[کارکرد]]/31*3*ج_ح_فروردین14[[#This Row],[تعداد فرزندان]]*حداقل_حقوق_پایه_روزانه)</f>
        <v>0</v>
      </c>
      <c r="N7" s="46">
        <f>IF(ج_ح_فروردین14[[#This Row],[کارکرد]]="","",ج_ح_فروردین14[[#This Row],[کارکرد]]*حق_خواربار/30)</f>
        <v>0</v>
      </c>
      <c r="O7" s="46">
        <f>IFERROR(ج_ح_فروردین14[[#This Row],[حقوق پایه]]+ج_ح_فروردین14[[#This Row],[اضافه کاری]]+ج_ح_فروردین14[[#This Row],[حق مسکن]]+ج_ح_فروردین14[[#This Row],[حق اولاد]]+ج_ح_فروردین14[[#This Row],[حق و خواروبار]],"")</f>
        <v>32400000</v>
      </c>
      <c r="P7"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7" s="46" t="str">
        <f>IFERROR(ج_ح_فروردین14[[#This Row],[حقوق پایه]]+ج_ح_فروردین14[[#This Row],[اضافه کاری]]+-(2/7)*ج_ح_فروردین14[[#This Row],[بیمه پرداختنی]],"")</f>
        <v/>
      </c>
      <c r="R7" s="45">
        <v>0</v>
      </c>
      <c r="S7" s="45">
        <v>0</v>
      </c>
      <c r="T7" s="46" t="str">
        <f>IFERROR(ج_ح_فروردین14[[#This Row],[جمع ح و م م بیمه ]]*7%,"")</f>
        <v/>
      </c>
      <c r="U7"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7" s="46" t="str">
        <f>IFERROR(ج_ح_فروردین14[[#This Row],[وام]]+ج_ح_فروردین14[[#This Row],[مساعده]]+ج_ح_فروردین14[[#This Row],[بیمه پرداختنی]]+ج_ح_فروردین14[[#This Row],[مالیات پرداختنی]],"")</f>
        <v/>
      </c>
      <c r="W7" s="46" t="str">
        <f>IFERROR(ج_ح_فروردین14[[#This Row],[جمع ح و م]]-ج_ح_فروردین14[[#This Row],[جمع کسورات]],"")</f>
        <v/>
      </c>
    </row>
    <row r="8" spans="1:23" s="41" customFormat="1" ht="32.1" customHeight="1">
      <c r="B8" s="41">
        <v>1</v>
      </c>
      <c r="C8" s="42" t="str">
        <f>IF(ج_ح_فروردین14[[#This Row],[نام]]&lt;&gt;"",ROW()-7+1,"")</f>
        <v/>
      </c>
      <c r="D8" s="43"/>
      <c r="E8" s="43"/>
      <c r="F8" s="44"/>
      <c r="G8" s="45"/>
      <c r="H8" s="46" t="str">
        <f>IF(ج_ح_فروردین14[[#This Row],[کارکرد]]*ج_ح_فروردین14[[#This Row],[دستمزد روزانه ]]=0,"",ج_ح_فروردین14[[#This Row],[کارکرد]]*ج_ح_فروردین14[[#This Row],[دستمزد روزانه ]])</f>
        <v/>
      </c>
      <c r="I8" s="47"/>
      <c r="J8" s="48">
        <f>(ج_ح_فروردین14[[#This Row],[دستمزد روزانه ]]/7.33)*1.4*ج_ح_فروردین14[[#This Row],[مدت اضافه کاری ]]</f>
        <v>0</v>
      </c>
      <c r="K8" s="46" t="str">
        <f>IF(ج_ح_فروردین14[[#This Row],[کارکرد]]="","",ج_ح_فروردین14[[#This Row],[کارکرد]]*حق_مسکن/30)</f>
        <v/>
      </c>
      <c r="L8" s="49"/>
      <c r="M8" s="46" t="str">
        <f>IF(ج_ح_فروردین14[[#This Row],[تعداد فرزندان]]="","",ج_ح_فروردین14[[#This Row],[کارکرد]]/31*3*ج_ح_فروردین14[[#This Row],[تعداد فرزندان]]*حداقل_حقوق_پایه_روزانه)</f>
        <v/>
      </c>
      <c r="N8" s="46" t="str">
        <f>IF(ج_ح_فروردین14[[#This Row],[کارکرد]]="","",ج_ح_فروردین14[[#This Row],[کارکرد]]*حق_خواربار/30)</f>
        <v/>
      </c>
      <c r="O8" s="46" t="str">
        <f>IFERROR(ج_ح_فروردین14[[#This Row],[حقوق پایه]]+ج_ح_فروردین14[[#This Row],[اضافه کاری]]+ج_ح_فروردین14[[#This Row],[حق مسکن]]+ج_ح_فروردین14[[#This Row],[حق اولاد]]+ج_ح_فروردین14[[#This Row],[حق و خواروبار]],"")</f>
        <v/>
      </c>
      <c r="P8"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8" s="46" t="str">
        <f>IFERROR(ج_ح_فروردین14[[#This Row],[حقوق پایه]]+ج_ح_فروردین14[[#This Row],[اضافه کاری]]+-(2/7)*ج_ح_فروردین14[[#This Row],[بیمه پرداختنی]],"")</f>
        <v/>
      </c>
      <c r="R8" s="45">
        <v>0</v>
      </c>
      <c r="S8" s="45">
        <v>0</v>
      </c>
      <c r="T8" s="46" t="str">
        <f>IFERROR(ج_ح_فروردین14[[#This Row],[جمع ح و م م بیمه ]]*7%,"")</f>
        <v/>
      </c>
      <c r="U8"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8" s="46" t="str">
        <f>IFERROR(ج_ح_فروردین14[[#This Row],[وام]]+ج_ح_فروردین14[[#This Row],[مساعده]]+ج_ح_فروردین14[[#This Row],[بیمه پرداختنی]]+ج_ح_فروردین14[[#This Row],[مالیات پرداختنی]],"")</f>
        <v/>
      </c>
      <c r="W8" s="46" t="str">
        <f>IFERROR(ج_ح_فروردین14[[#This Row],[جمع ح و م]]-ج_ح_فروردین14[[#This Row],[جمع کسورات]],"")</f>
        <v/>
      </c>
    </row>
    <row r="9" spans="1:23" s="41" customFormat="1" ht="32.1" customHeight="1">
      <c r="B9" s="41">
        <v>1</v>
      </c>
      <c r="C9" s="42" t="str">
        <f>IF(ج_ح_فروردین14[[#This Row],[نام]]&lt;&gt;"",ROW()-7+1,"")</f>
        <v/>
      </c>
      <c r="D9" s="43"/>
      <c r="E9" s="43"/>
      <c r="F9" s="44"/>
      <c r="G9" s="45"/>
      <c r="H9" s="46" t="str">
        <f>IF(ج_ح_فروردین14[[#This Row],[کارکرد]]*ج_ح_فروردین14[[#This Row],[دستمزد روزانه ]]=0,"",ج_ح_فروردین14[[#This Row],[کارکرد]]*ج_ح_فروردین14[[#This Row],[دستمزد روزانه ]])</f>
        <v/>
      </c>
      <c r="I9" s="47"/>
      <c r="J9" s="48">
        <f>(ج_ح_فروردین14[[#This Row],[دستمزد روزانه ]]/7.33)*1.4*ج_ح_فروردین14[[#This Row],[مدت اضافه کاری ]]</f>
        <v>0</v>
      </c>
      <c r="K9" s="46" t="str">
        <f>IF(ج_ح_فروردین14[[#This Row],[کارکرد]]="","",ج_ح_فروردین14[[#This Row],[کارکرد]]*حق_مسکن/30)</f>
        <v/>
      </c>
      <c r="L9" s="49"/>
      <c r="M9" s="46" t="str">
        <f>IF(ج_ح_فروردین14[[#This Row],[تعداد فرزندان]]="","",ج_ح_فروردین14[[#This Row],[کارکرد]]/31*3*ج_ح_فروردین14[[#This Row],[تعداد فرزندان]]*حداقل_حقوق_پایه_روزانه)</f>
        <v/>
      </c>
      <c r="N9" s="46" t="str">
        <f>IF(ج_ح_فروردین14[[#This Row],[کارکرد]]="","",ج_ح_فروردین14[[#This Row],[کارکرد]]*حق_خواربار/30)</f>
        <v/>
      </c>
      <c r="O9" s="46" t="str">
        <f>IFERROR(ج_ح_فروردین14[[#This Row],[حقوق پایه]]+ج_ح_فروردین14[[#This Row],[اضافه کاری]]+ج_ح_فروردین14[[#This Row],[حق مسکن]]+ج_ح_فروردین14[[#This Row],[حق اولاد]]+ج_ح_فروردین14[[#This Row],[حق و خواروبار]],"")</f>
        <v/>
      </c>
      <c r="P9"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9" s="46" t="str">
        <f>IFERROR(ج_ح_فروردین14[[#This Row],[حقوق پایه]]+ج_ح_فروردین14[[#This Row],[اضافه کاری]]+-(2/7)*ج_ح_فروردین14[[#This Row],[بیمه پرداختنی]],"")</f>
        <v/>
      </c>
      <c r="R9" s="45">
        <v>0</v>
      </c>
      <c r="S9" s="45">
        <v>0</v>
      </c>
      <c r="T9" s="46" t="str">
        <f>IFERROR(ج_ح_فروردین14[[#This Row],[جمع ح و م م بیمه ]]*7%,"")</f>
        <v/>
      </c>
      <c r="U9"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9" s="46" t="str">
        <f>IFERROR(ج_ح_فروردین14[[#This Row],[وام]]+ج_ح_فروردین14[[#This Row],[مساعده]]+ج_ح_فروردین14[[#This Row],[بیمه پرداختنی]]+ج_ح_فروردین14[[#This Row],[مالیات پرداختنی]],"")</f>
        <v/>
      </c>
      <c r="W9" s="46" t="str">
        <f>IFERROR(ج_ح_فروردین14[[#This Row],[جمع ح و م]]-ج_ح_فروردین14[[#This Row],[جمع کسورات]],"")</f>
        <v/>
      </c>
    </row>
    <row r="10" spans="1:23" s="41" customFormat="1" ht="32.1" customHeight="1">
      <c r="B10" s="41">
        <v>1</v>
      </c>
      <c r="C10" s="42" t="str">
        <f>IF(ج_ح_فروردین14[[#This Row],[نام]]&lt;&gt;"",ROW()-7+1,"")</f>
        <v/>
      </c>
      <c r="D10" s="43"/>
      <c r="E10" s="43"/>
      <c r="F10" s="44"/>
      <c r="G10" s="45"/>
      <c r="H10" s="46" t="str">
        <f>IF(ج_ح_فروردین14[[#This Row],[کارکرد]]*ج_ح_فروردین14[[#This Row],[دستمزد روزانه ]]=0,"",ج_ح_فروردین14[[#This Row],[کارکرد]]*ج_ح_فروردین14[[#This Row],[دستمزد روزانه ]])</f>
        <v/>
      </c>
      <c r="I10" s="47"/>
      <c r="J10" s="48">
        <f>(ج_ح_فروردین14[[#This Row],[دستمزد روزانه ]]/7.33)*1.4*ج_ح_فروردین14[[#This Row],[مدت اضافه کاری ]]</f>
        <v>0</v>
      </c>
      <c r="K10" s="46" t="str">
        <f>IF(ج_ح_فروردین14[[#This Row],[کارکرد]]="","",ج_ح_فروردین14[[#This Row],[کارکرد]]*حق_مسکن/30)</f>
        <v/>
      </c>
      <c r="L10" s="49"/>
      <c r="M10" s="46" t="str">
        <f>IF(ج_ح_فروردین14[[#This Row],[تعداد فرزندان]]="","",ج_ح_فروردین14[[#This Row],[کارکرد]]/31*3*ج_ح_فروردین14[[#This Row],[تعداد فرزندان]]*حداقل_حقوق_پایه_روزانه)</f>
        <v/>
      </c>
      <c r="N10" s="46" t="str">
        <f>IF(ج_ح_فروردین14[[#This Row],[کارکرد]]="","",ج_ح_فروردین14[[#This Row],[کارکرد]]*حق_خواربار/30)</f>
        <v/>
      </c>
      <c r="O10" s="46" t="str">
        <f>IFERROR(ج_ح_فروردین14[[#This Row],[حقوق پایه]]+ج_ح_فروردین14[[#This Row],[اضافه کاری]]+ج_ح_فروردین14[[#This Row],[حق مسکن]]+ج_ح_فروردین14[[#This Row],[حق اولاد]]+ج_ح_فروردین14[[#This Row],[حق و خواروبار]],"")</f>
        <v/>
      </c>
      <c r="P10"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10" s="46" t="str">
        <f>IFERROR(ج_ح_فروردین14[[#This Row],[حقوق پایه]]+ج_ح_فروردین14[[#This Row],[اضافه کاری]]+-(2/7)*ج_ح_فروردین14[[#This Row],[بیمه پرداختنی]],"")</f>
        <v/>
      </c>
      <c r="R10" s="45">
        <v>0</v>
      </c>
      <c r="S10" s="45">
        <v>0</v>
      </c>
      <c r="T10" s="46" t="str">
        <f>IFERROR(ج_ح_فروردین14[[#This Row],[جمع ح و م م بیمه ]]*7%,"")</f>
        <v/>
      </c>
      <c r="U10"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10" s="46" t="str">
        <f>IFERROR(ج_ح_فروردین14[[#This Row],[وام]]+ج_ح_فروردین14[[#This Row],[مساعده]]+ج_ح_فروردین14[[#This Row],[بیمه پرداختنی]]+ج_ح_فروردین14[[#This Row],[مالیات پرداختنی]],"")</f>
        <v/>
      </c>
      <c r="W10" s="46" t="str">
        <f>IFERROR(ج_ح_فروردین14[[#This Row],[جمع ح و م]]-ج_ح_فروردین14[[#This Row],[جمع کسورات]],"")</f>
        <v/>
      </c>
    </row>
    <row r="11" spans="1:23" s="41" customFormat="1" ht="32.1" customHeight="1">
      <c r="B11" s="41">
        <v>1</v>
      </c>
      <c r="C11" s="42" t="str">
        <f>IF(ج_ح_فروردین14[[#This Row],[نام]]&lt;&gt;"",ROW()-7+1,"")</f>
        <v/>
      </c>
      <c r="D11" s="43"/>
      <c r="E11" s="43"/>
      <c r="F11" s="44"/>
      <c r="G11" s="45"/>
      <c r="H11" s="46" t="str">
        <f>IF(ج_ح_فروردین14[[#This Row],[کارکرد]]*ج_ح_فروردین14[[#This Row],[دستمزد روزانه ]]=0,"",ج_ح_فروردین14[[#This Row],[کارکرد]]*ج_ح_فروردین14[[#This Row],[دستمزد روزانه ]])</f>
        <v/>
      </c>
      <c r="I11" s="47"/>
      <c r="J11" s="48">
        <f>(ج_ح_فروردین14[[#This Row],[دستمزد روزانه ]]/7.33)*1.4*ج_ح_فروردین14[[#This Row],[مدت اضافه کاری ]]</f>
        <v>0</v>
      </c>
      <c r="K11" s="46" t="str">
        <f>IF(ج_ح_فروردین14[[#This Row],[کارکرد]]="","",ج_ح_فروردین14[[#This Row],[کارکرد]]*حق_مسکن/30)</f>
        <v/>
      </c>
      <c r="L11" s="49"/>
      <c r="M11" s="46" t="str">
        <f>IF(ج_ح_فروردین14[[#This Row],[تعداد فرزندان]]="","",ج_ح_فروردین14[[#This Row],[کارکرد]]/31*3*ج_ح_فروردین14[[#This Row],[تعداد فرزندان]]*حداقل_حقوق_پایه_روزانه)</f>
        <v/>
      </c>
      <c r="N11" s="46" t="str">
        <f>IF(ج_ح_فروردین14[[#This Row],[کارکرد]]="","",ج_ح_فروردین14[[#This Row],[کارکرد]]*حق_خواربار/30)</f>
        <v/>
      </c>
      <c r="O11" s="46" t="str">
        <f>IFERROR(ج_ح_فروردین14[[#This Row],[حقوق پایه]]+ج_ح_فروردین14[[#This Row],[اضافه کاری]]+ج_ح_فروردین14[[#This Row],[حق مسکن]]+ج_ح_فروردین14[[#This Row],[حق اولاد]]+ج_ح_فروردین14[[#This Row],[حق و خواروبار]],"")</f>
        <v/>
      </c>
      <c r="P11"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11" s="46" t="str">
        <f>IFERROR(ج_ح_فروردین14[[#This Row],[حقوق پایه]]+ج_ح_فروردین14[[#This Row],[اضافه کاری]]+-(2/7)*ج_ح_فروردین14[[#This Row],[بیمه پرداختنی]],"")</f>
        <v/>
      </c>
      <c r="R11" s="45">
        <v>0</v>
      </c>
      <c r="S11" s="45">
        <v>0</v>
      </c>
      <c r="T11" s="46" t="str">
        <f>IFERROR(ج_ح_فروردین14[[#This Row],[جمع ح و م م بیمه ]]*7%,"")</f>
        <v/>
      </c>
      <c r="U11"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11" s="46" t="str">
        <f>IFERROR(ج_ح_فروردین14[[#This Row],[وام]]+ج_ح_فروردین14[[#This Row],[مساعده]]+ج_ح_فروردین14[[#This Row],[بیمه پرداختنی]]+ج_ح_فروردین14[[#This Row],[مالیات پرداختنی]],"")</f>
        <v/>
      </c>
      <c r="W11" s="46" t="str">
        <f>IFERROR(ج_ح_فروردین14[[#This Row],[جمع ح و م]]-ج_ح_فروردین14[[#This Row],[جمع کسورات]],"")</f>
        <v/>
      </c>
    </row>
    <row r="12" spans="1:23" s="41" customFormat="1" ht="32.1" customHeight="1">
      <c r="B12" s="41">
        <v>1</v>
      </c>
      <c r="C12" s="42" t="str">
        <f>IF(ج_ح_فروردین14[[#This Row],[نام]]&lt;&gt;"",ROW()-7+1,"")</f>
        <v/>
      </c>
      <c r="D12" s="43"/>
      <c r="E12" s="43"/>
      <c r="F12" s="44"/>
      <c r="G12" s="45"/>
      <c r="H12" s="46" t="str">
        <f>IF(ج_ح_فروردین14[[#This Row],[کارکرد]]*ج_ح_فروردین14[[#This Row],[دستمزد روزانه ]]=0,"",ج_ح_فروردین14[[#This Row],[کارکرد]]*ج_ح_فروردین14[[#This Row],[دستمزد روزانه ]])</f>
        <v/>
      </c>
      <c r="I12" s="47"/>
      <c r="J12" s="48">
        <f>(ج_ح_فروردین14[[#This Row],[دستمزد روزانه ]]/7.33)*1.4*ج_ح_فروردین14[[#This Row],[مدت اضافه کاری ]]</f>
        <v>0</v>
      </c>
      <c r="K12" s="46" t="str">
        <f>IF(ج_ح_فروردین14[[#This Row],[کارکرد]]="","",ج_ح_فروردین14[[#This Row],[کارکرد]]*حق_مسکن/30)</f>
        <v/>
      </c>
      <c r="L12" s="49"/>
      <c r="M12" s="46" t="str">
        <f>IF(ج_ح_فروردین14[[#This Row],[تعداد فرزندان]]="","",ج_ح_فروردین14[[#This Row],[کارکرد]]/31*3*ج_ح_فروردین14[[#This Row],[تعداد فرزندان]]*حداقل_حقوق_پایه_روزانه)</f>
        <v/>
      </c>
      <c r="N12" s="46" t="str">
        <f>IF(ج_ح_فروردین14[[#This Row],[کارکرد]]="","",ج_ح_فروردین14[[#This Row],[کارکرد]]*حق_خواربار/30)</f>
        <v/>
      </c>
      <c r="O12" s="46" t="str">
        <f>IFERROR(ج_ح_فروردین14[[#This Row],[حقوق پایه]]+ج_ح_فروردین14[[#This Row],[اضافه کاری]]+ج_ح_فروردین14[[#This Row],[حق مسکن]]+ج_ح_فروردین14[[#This Row],[حق اولاد]]+ج_ح_فروردین14[[#This Row],[حق و خواروبار]],"")</f>
        <v/>
      </c>
      <c r="P12"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12" s="46" t="str">
        <f>IFERROR(ج_ح_فروردین14[[#This Row],[حقوق پایه]]+ج_ح_فروردین14[[#This Row],[اضافه کاری]]+-(2/7)*ج_ح_فروردین14[[#This Row],[بیمه پرداختنی]],"")</f>
        <v/>
      </c>
      <c r="R12" s="45">
        <v>0</v>
      </c>
      <c r="S12" s="45">
        <v>0</v>
      </c>
      <c r="T12" s="46" t="str">
        <f>IFERROR(ج_ح_فروردین14[[#This Row],[جمع ح و م م بیمه ]]*7%,"")</f>
        <v/>
      </c>
      <c r="U12"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12" s="46" t="str">
        <f>IFERROR(ج_ح_فروردین14[[#This Row],[وام]]+ج_ح_فروردین14[[#This Row],[مساعده]]+ج_ح_فروردین14[[#This Row],[بیمه پرداختنی]]+ج_ح_فروردین14[[#This Row],[مالیات پرداختنی]],"")</f>
        <v/>
      </c>
      <c r="W12" s="46" t="str">
        <f>IFERROR(ج_ح_فروردین14[[#This Row],[جمع ح و م]]-ج_ح_فروردین14[[#This Row],[جمع کسورات]],"")</f>
        <v/>
      </c>
    </row>
    <row r="13" spans="1:23" s="41" customFormat="1" ht="32.1" customHeight="1">
      <c r="B13" s="41">
        <v>1</v>
      </c>
      <c r="C13" s="42" t="str">
        <f>IF(ج_ح_فروردین14[[#This Row],[نام]]&lt;&gt;"",ROW()-7+1,"")</f>
        <v/>
      </c>
      <c r="D13" s="43"/>
      <c r="E13" s="43"/>
      <c r="F13" s="44"/>
      <c r="G13" s="45"/>
      <c r="H13" s="46" t="str">
        <f>IF(ج_ح_فروردین14[[#This Row],[کارکرد]]*ج_ح_فروردین14[[#This Row],[دستمزد روزانه ]]=0,"",ج_ح_فروردین14[[#This Row],[کارکرد]]*ج_ح_فروردین14[[#This Row],[دستمزد روزانه ]])</f>
        <v/>
      </c>
      <c r="I13" s="47"/>
      <c r="J13" s="48">
        <f>(ج_ح_فروردین14[[#This Row],[دستمزد روزانه ]]/7.33)*1.4*ج_ح_فروردین14[[#This Row],[مدت اضافه کاری ]]</f>
        <v>0</v>
      </c>
      <c r="K13" s="46" t="str">
        <f>IF(ج_ح_فروردین14[[#This Row],[کارکرد]]="","",ج_ح_فروردین14[[#This Row],[کارکرد]]*حق_مسکن/30)</f>
        <v/>
      </c>
      <c r="L13" s="49"/>
      <c r="M13" s="46" t="str">
        <f>IF(ج_ح_فروردین14[[#This Row],[تعداد فرزندان]]="","",ج_ح_فروردین14[[#This Row],[کارکرد]]/31*3*ج_ح_فروردین14[[#This Row],[تعداد فرزندان]]*حداقل_حقوق_پایه_روزانه)</f>
        <v/>
      </c>
      <c r="N13" s="46" t="str">
        <f>IF(ج_ح_فروردین14[[#This Row],[کارکرد]]="","",ج_ح_فروردین14[[#This Row],[کارکرد]]*حق_خواربار/30)</f>
        <v/>
      </c>
      <c r="O13" s="46" t="str">
        <f>IFERROR(ج_ح_فروردین14[[#This Row],[حقوق پایه]]+ج_ح_فروردین14[[#This Row],[اضافه کاری]]+ج_ح_فروردین14[[#This Row],[حق مسکن]]+ج_ح_فروردین14[[#This Row],[حق اولاد]]+ج_ح_فروردین14[[#This Row],[حق و خواروبار]],"")</f>
        <v/>
      </c>
      <c r="P13"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13" s="46" t="str">
        <f>IFERROR(ج_ح_فروردین14[[#This Row],[حقوق پایه]]+ج_ح_فروردین14[[#This Row],[اضافه کاری]]+-(2/7)*ج_ح_فروردین14[[#This Row],[بیمه پرداختنی]],"")</f>
        <v/>
      </c>
      <c r="R13" s="45">
        <v>0</v>
      </c>
      <c r="S13" s="45">
        <v>0</v>
      </c>
      <c r="T13" s="46" t="str">
        <f>IFERROR(ج_ح_فروردین14[[#This Row],[جمع ح و م م بیمه ]]*7%,"")</f>
        <v/>
      </c>
      <c r="U13"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13" s="46" t="str">
        <f>IFERROR(ج_ح_فروردین14[[#This Row],[وام]]+ج_ح_فروردین14[[#This Row],[مساعده]]+ج_ح_فروردین14[[#This Row],[بیمه پرداختنی]]+ج_ح_فروردین14[[#This Row],[مالیات پرداختنی]],"")</f>
        <v/>
      </c>
      <c r="W13" s="46" t="str">
        <f>IFERROR(ج_ح_فروردین14[[#This Row],[جمع ح و م]]-ج_ح_فروردین14[[#This Row],[جمع کسورات]],"")</f>
        <v/>
      </c>
    </row>
    <row r="14" spans="1:23" s="41" customFormat="1" ht="32.1" customHeight="1">
      <c r="B14" s="41">
        <v>1</v>
      </c>
      <c r="C14" s="42" t="str">
        <f>IF(ج_ح_فروردین14[[#This Row],[نام]]&lt;&gt;"",ROW()-7+1,"")</f>
        <v/>
      </c>
      <c r="D14" s="43"/>
      <c r="E14" s="43"/>
      <c r="F14" s="44"/>
      <c r="G14" s="45"/>
      <c r="H14" s="46" t="str">
        <f>IF(ج_ح_فروردین14[[#This Row],[کارکرد]]*ج_ح_فروردین14[[#This Row],[دستمزد روزانه ]]=0,"",ج_ح_فروردین14[[#This Row],[کارکرد]]*ج_ح_فروردین14[[#This Row],[دستمزد روزانه ]])</f>
        <v/>
      </c>
      <c r="I14" s="47"/>
      <c r="J14" s="48">
        <f>(ج_ح_فروردین14[[#This Row],[دستمزد روزانه ]]/7.33)*1.4*ج_ح_فروردین14[[#This Row],[مدت اضافه کاری ]]</f>
        <v>0</v>
      </c>
      <c r="K14" s="46" t="str">
        <f>IF(ج_ح_فروردین14[[#This Row],[کارکرد]]="","",ج_ح_فروردین14[[#This Row],[کارکرد]]*حق_مسکن/30)</f>
        <v/>
      </c>
      <c r="L14" s="49"/>
      <c r="M14" s="46" t="str">
        <f>IF(ج_ح_فروردین14[[#This Row],[تعداد فرزندان]]="","",ج_ح_فروردین14[[#This Row],[کارکرد]]/31*3*ج_ح_فروردین14[[#This Row],[تعداد فرزندان]]*حداقل_حقوق_پایه_روزانه)</f>
        <v/>
      </c>
      <c r="N14" s="46" t="str">
        <f>IF(ج_ح_فروردین14[[#This Row],[کارکرد]]="","",ج_ح_فروردین14[[#This Row],[کارکرد]]*حق_خواربار/30)</f>
        <v/>
      </c>
      <c r="O14" s="46" t="str">
        <f>IFERROR(ج_ح_فروردین14[[#This Row],[حقوق پایه]]+ج_ح_فروردین14[[#This Row],[اضافه کاری]]+ج_ح_فروردین14[[#This Row],[حق مسکن]]+ج_ح_فروردین14[[#This Row],[حق اولاد]]+ج_ح_فروردین14[[#This Row],[حق و خواروبار]],"")</f>
        <v/>
      </c>
      <c r="P14"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14" s="46" t="str">
        <f>IFERROR(ج_ح_فروردین14[[#This Row],[حقوق پایه]]+ج_ح_فروردین14[[#This Row],[اضافه کاری]]+-(2/7)*ج_ح_فروردین14[[#This Row],[بیمه پرداختنی]],"")</f>
        <v/>
      </c>
      <c r="R14" s="45">
        <v>0</v>
      </c>
      <c r="S14" s="45">
        <v>0</v>
      </c>
      <c r="T14" s="46" t="str">
        <f>IFERROR(ج_ح_فروردین14[[#This Row],[جمع ح و م م بیمه ]]*7%,"")</f>
        <v/>
      </c>
      <c r="U14"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14" s="46" t="str">
        <f>IFERROR(ج_ح_فروردین14[[#This Row],[وام]]+ج_ح_فروردین14[[#This Row],[مساعده]]+ج_ح_فروردین14[[#This Row],[بیمه پرداختنی]]+ج_ح_فروردین14[[#This Row],[مالیات پرداختنی]],"")</f>
        <v/>
      </c>
      <c r="W14" s="46" t="str">
        <f>IFERROR(ج_ح_فروردین14[[#This Row],[جمع ح و م]]-ج_ح_فروردین14[[#This Row],[جمع کسورات]],"")</f>
        <v/>
      </c>
    </row>
    <row r="15" spans="1:23" s="41" customFormat="1" ht="32.1" customHeight="1">
      <c r="B15" s="41">
        <v>1</v>
      </c>
      <c r="C15" s="42" t="str">
        <f>IF(ج_ح_فروردین14[[#This Row],[نام]]&lt;&gt;"",ROW()-7+1,"")</f>
        <v/>
      </c>
      <c r="D15" s="43"/>
      <c r="E15" s="43"/>
      <c r="F15" s="44"/>
      <c r="G15" s="45"/>
      <c r="H15" s="46" t="str">
        <f>IF(ج_ح_فروردین14[[#This Row],[کارکرد]]*ج_ح_فروردین14[[#This Row],[دستمزد روزانه ]]=0,"",ج_ح_فروردین14[[#This Row],[کارکرد]]*ج_ح_فروردین14[[#This Row],[دستمزد روزانه ]])</f>
        <v/>
      </c>
      <c r="I15" s="47"/>
      <c r="J15" s="48">
        <f>(ج_ح_فروردین14[[#This Row],[دستمزد روزانه ]]/7.33)*1.4*ج_ح_فروردین14[[#This Row],[مدت اضافه کاری ]]</f>
        <v>0</v>
      </c>
      <c r="K15" s="46" t="str">
        <f>IF(ج_ح_فروردین14[[#This Row],[کارکرد]]="","",ج_ح_فروردین14[[#This Row],[کارکرد]]*حق_مسکن/30)</f>
        <v/>
      </c>
      <c r="L15" s="49"/>
      <c r="M15" s="46" t="str">
        <f>IF(ج_ح_فروردین14[[#This Row],[تعداد فرزندان]]="","",ج_ح_فروردین14[[#This Row],[کارکرد]]/31*3*ج_ح_فروردین14[[#This Row],[تعداد فرزندان]]*حداقل_حقوق_پایه_روزانه)</f>
        <v/>
      </c>
      <c r="N15" s="46" t="str">
        <f>IF(ج_ح_فروردین14[[#This Row],[کارکرد]]="","",ج_ح_فروردین14[[#This Row],[کارکرد]]*حق_خواربار/30)</f>
        <v/>
      </c>
      <c r="O15" s="46" t="str">
        <f>IFERROR(ج_ح_فروردین14[[#This Row],[حقوق پایه]]+ج_ح_فروردین14[[#This Row],[اضافه کاری]]+ج_ح_فروردین14[[#This Row],[حق مسکن]]+ج_ح_فروردین14[[#This Row],[حق اولاد]]+ج_ح_فروردین14[[#This Row],[حق و خواروبار]],"")</f>
        <v/>
      </c>
      <c r="P15"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15" s="46" t="str">
        <f>IFERROR(ج_ح_فروردین14[[#This Row],[حقوق پایه]]+ج_ح_فروردین14[[#This Row],[اضافه کاری]]+-(2/7)*ج_ح_فروردین14[[#This Row],[بیمه پرداختنی]],"")</f>
        <v/>
      </c>
      <c r="R15" s="45">
        <v>0</v>
      </c>
      <c r="S15" s="45">
        <v>0</v>
      </c>
      <c r="T15" s="46" t="str">
        <f>IFERROR(ج_ح_فروردین14[[#This Row],[جمع ح و م م بیمه ]]*7%,"")</f>
        <v/>
      </c>
      <c r="U15"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15" s="46" t="str">
        <f>IFERROR(ج_ح_فروردین14[[#This Row],[وام]]+ج_ح_فروردین14[[#This Row],[مساعده]]+ج_ح_فروردین14[[#This Row],[بیمه پرداختنی]]+ج_ح_فروردین14[[#This Row],[مالیات پرداختنی]],"")</f>
        <v/>
      </c>
      <c r="W15" s="46" t="str">
        <f>IFERROR(ج_ح_فروردین14[[#This Row],[جمع ح و م]]-ج_ح_فروردین14[[#This Row],[جمع کسورات]],"")</f>
        <v/>
      </c>
    </row>
    <row r="16" spans="1:23" s="41" customFormat="1" ht="32.1" customHeight="1">
      <c r="B16" s="41">
        <v>1</v>
      </c>
      <c r="C16" s="42" t="str">
        <f>IF(ج_ح_فروردین14[[#This Row],[نام]]&lt;&gt;"",ROW()-7+1,"")</f>
        <v/>
      </c>
      <c r="D16" s="43"/>
      <c r="E16" s="43"/>
      <c r="F16" s="44"/>
      <c r="G16" s="45"/>
      <c r="H16" s="46" t="str">
        <f>IF(ج_ح_فروردین14[[#This Row],[کارکرد]]*ج_ح_فروردین14[[#This Row],[دستمزد روزانه ]]=0,"",ج_ح_فروردین14[[#This Row],[کارکرد]]*ج_ح_فروردین14[[#This Row],[دستمزد روزانه ]])</f>
        <v/>
      </c>
      <c r="I16" s="47"/>
      <c r="J16" s="48">
        <f>(ج_ح_فروردین14[[#This Row],[دستمزد روزانه ]]/7.33)*1.4*ج_ح_فروردین14[[#This Row],[مدت اضافه کاری ]]</f>
        <v>0</v>
      </c>
      <c r="K16" s="46" t="str">
        <f>IF(ج_ح_فروردین14[[#This Row],[کارکرد]]="","",ج_ح_فروردین14[[#This Row],[کارکرد]]*حق_مسکن/30)</f>
        <v/>
      </c>
      <c r="L16" s="49"/>
      <c r="M16" s="46" t="str">
        <f>IF(ج_ح_فروردین14[[#This Row],[تعداد فرزندان]]="","",ج_ح_فروردین14[[#This Row],[کارکرد]]/31*3*ج_ح_فروردین14[[#This Row],[تعداد فرزندان]]*حداقل_حقوق_پایه_روزانه)</f>
        <v/>
      </c>
      <c r="N16" s="46" t="str">
        <f>IF(ج_ح_فروردین14[[#This Row],[کارکرد]]="","",ج_ح_فروردین14[[#This Row],[کارکرد]]*حق_خواربار/30)</f>
        <v/>
      </c>
      <c r="O16" s="46" t="str">
        <f>IFERROR(ج_ح_فروردین14[[#This Row],[حقوق پایه]]+ج_ح_فروردین14[[#This Row],[اضافه کاری]]+ج_ح_فروردین14[[#This Row],[حق مسکن]]+ج_ح_فروردین14[[#This Row],[حق اولاد]]+ج_ح_فروردین14[[#This Row],[حق و خواروبار]],"")</f>
        <v/>
      </c>
      <c r="P16"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16" s="46" t="str">
        <f>IFERROR(ج_ح_فروردین14[[#This Row],[حقوق پایه]]+ج_ح_فروردین14[[#This Row],[اضافه کاری]]+-(2/7)*ج_ح_فروردین14[[#This Row],[بیمه پرداختنی]],"")</f>
        <v/>
      </c>
      <c r="R16" s="45">
        <v>0</v>
      </c>
      <c r="S16" s="45">
        <v>0</v>
      </c>
      <c r="T16" s="46" t="str">
        <f>IFERROR(ج_ح_فروردین14[[#This Row],[جمع ح و م م بیمه ]]*7%,"")</f>
        <v/>
      </c>
      <c r="U16"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16" s="46" t="str">
        <f>IFERROR(ج_ح_فروردین14[[#This Row],[وام]]+ج_ح_فروردین14[[#This Row],[مساعده]]+ج_ح_فروردین14[[#This Row],[بیمه پرداختنی]]+ج_ح_فروردین14[[#This Row],[مالیات پرداختنی]],"")</f>
        <v/>
      </c>
      <c r="W16" s="46" t="str">
        <f>IFERROR(ج_ح_فروردین14[[#This Row],[جمع ح و م]]-ج_ح_فروردین14[[#This Row],[جمع کسورات]],"")</f>
        <v/>
      </c>
    </row>
    <row r="17" spans="2:23" s="41" customFormat="1" ht="32.1" customHeight="1">
      <c r="B17" s="41">
        <v>1</v>
      </c>
      <c r="C17" s="42" t="str">
        <f>IF(ج_ح_فروردین14[[#This Row],[نام]]&lt;&gt;"",ROW()-7+1,"")</f>
        <v/>
      </c>
      <c r="D17" s="43"/>
      <c r="E17" s="43"/>
      <c r="F17" s="44"/>
      <c r="G17" s="45"/>
      <c r="H17" s="46" t="str">
        <f>IF(ج_ح_فروردین14[[#This Row],[کارکرد]]*ج_ح_فروردین14[[#This Row],[دستمزد روزانه ]]=0,"",ج_ح_فروردین14[[#This Row],[کارکرد]]*ج_ح_فروردین14[[#This Row],[دستمزد روزانه ]])</f>
        <v/>
      </c>
      <c r="I17" s="47"/>
      <c r="J17" s="48">
        <f>(ج_ح_فروردین14[[#This Row],[دستمزد روزانه ]]/7.33)*1.4*ج_ح_فروردین14[[#This Row],[مدت اضافه کاری ]]</f>
        <v>0</v>
      </c>
      <c r="K17" s="46" t="str">
        <f>IF(ج_ح_فروردین14[[#This Row],[کارکرد]]="","",ج_ح_فروردین14[[#This Row],[کارکرد]]*حق_مسکن/30)</f>
        <v/>
      </c>
      <c r="L17" s="49"/>
      <c r="M17" s="46" t="str">
        <f>IF(ج_ح_فروردین14[[#This Row],[تعداد فرزندان]]="","",ج_ح_فروردین14[[#This Row],[کارکرد]]/31*3*ج_ح_فروردین14[[#This Row],[تعداد فرزندان]]*حداقل_حقوق_پایه_روزانه)</f>
        <v/>
      </c>
      <c r="N17" s="46" t="str">
        <f>IF(ج_ح_فروردین14[[#This Row],[کارکرد]]="","",ج_ح_فروردین14[[#This Row],[کارکرد]]*حق_خواربار/30)</f>
        <v/>
      </c>
      <c r="O17" s="46" t="str">
        <f>IFERROR(ج_ح_فروردین14[[#This Row],[حقوق پایه]]+ج_ح_فروردین14[[#This Row],[اضافه کاری]]+ج_ح_فروردین14[[#This Row],[حق مسکن]]+ج_ح_فروردین14[[#This Row],[حق اولاد]]+ج_ح_فروردین14[[#This Row],[حق و خواروبار]],"")</f>
        <v/>
      </c>
      <c r="P17"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17" s="46" t="str">
        <f>IFERROR(ج_ح_فروردین14[[#This Row],[حقوق پایه]]+ج_ح_فروردین14[[#This Row],[اضافه کاری]]+-(2/7)*ج_ح_فروردین14[[#This Row],[بیمه پرداختنی]],"")</f>
        <v/>
      </c>
      <c r="R17" s="45">
        <v>0</v>
      </c>
      <c r="S17" s="45">
        <v>0</v>
      </c>
      <c r="T17" s="46" t="str">
        <f>IFERROR(ج_ح_فروردین14[[#This Row],[جمع ح و م م بیمه ]]*7%,"")</f>
        <v/>
      </c>
      <c r="U17"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17" s="46" t="str">
        <f>IFERROR(ج_ح_فروردین14[[#This Row],[وام]]+ج_ح_فروردین14[[#This Row],[مساعده]]+ج_ح_فروردین14[[#This Row],[بیمه پرداختنی]]+ج_ح_فروردین14[[#This Row],[مالیات پرداختنی]],"")</f>
        <v/>
      </c>
      <c r="W17" s="46" t="str">
        <f>IFERROR(ج_ح_فروردین14[[#This Row],[جمع ح و م]]-ج_ح_فروردین14[[#This Row],[جمع کسورات]],"")</f>
        <v/>
      </c>
    </row>
    <row r="18" spans="2:23" s="41" customFormat="1" ht="32.1" customHeight="1">
      <c r="B18" s="41">
        <v>1</v>
      </c>
      <c r="C18" s="42" t="str">
        <f>IF(ج_ح_فروردین14[[#This Row],[نام]]&lt;&gt;"",ROW()-7+1,"")</f>
        <v/>
      </c>
      <c r="D18" s="43"/>
      <c r="E18" s="43"/>
      <c r="F18" s="44"/>
      <c r="G18" s="45"/>
      <c r="H18" s="46" t="str">
        <f>IF(ج_ح_فروردین14[[#This Row],[کارکرد]]*ج_ح_فروردین14[[#This Row],[دستمزد روزانه ]]=0,"",ج_ح_فروردین14[[#This Row],[کارکرد]]*ج_ح_فروردین14[[#This Row],[دستمزد روزانه ]])</f>
        <v/>
      </c>
      <c r="I18" s="47"/>
      <c r="J18" s="48">
        <f>(ج_ح_فروردین14[[#This Row],[دستمزد روزانه ]]/7.33)*1.4*ج_ح_فروردین14[[#This Row],[مدت اضافه کاری ]]</f>
        <v>0</v>
      </c>
      <c r="K18" s="46" t="str">
        <f>IF(ج_ح_فروردین14[[#This Row],[کارکرد]]="","",ج_ح_فروردین14[[#This Row],[کارکرد]]*حق_مسکن/30)</f>
        <v/>
      </c>
      <c r="L18" s="49"/>
      <c r="M18" s="46" t="str">
        <f>IF(ج_ح_فروردین14[[#This Row],[تعداد فرزندان]]="","",ج_ح_فروردین14[[#This Row],[کارکرد]]/31*3*ج_ح_فروردین14[[#This Row],[تعداد فرزندان]]*حداقل_حقوق_پایه_روزانه)</f>
        <v/>
      </c>
      <c r="N18" s="46" t="str">
        <f>IF(ج_ح_فروردین14[[#This Row],[کارکرد]]="","",ج_ح_فروردین14[[#This Row],[کارکرد]]*حق_خواربار/30)</f>
        <v/>
      </c>
      <c r="O18" s="46" t="str">
        <f>IFERROR(ج_ح_فروردین14[[#This Row],[حقوق پایه]]+ج_ح_فروردین14[[#This Row],[اضافه کاری]]+ج_ح_فروردین14[[#This Row],[حق مسکن]]+ج_ح_فروردین14[[#This Row],[حق اولاد]]+ج_ح_فروردین14[[#This Row],[حق و خواروبار]],"")</f>
        <v/>
      </c>
      <c r="P18"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18" s="46" t="str">
        <f>IFERROR(ج_ح_فروردین14[[#This Row],[حقوق پایه]]+ج_ح_فروردین14[[#This Row],[اضافه کاری]]+-(2/7)*ج_ح_فروردین14[[#This Row],[بیمه پرداختنی]],"")</f>
        <v/>
      </c>
      <c r="R18" s="45">
        <v>0</v>
      </c>
      <c r="S18" s="45">
        <v>0</v>
      </c>
      <c r="T18" s="46" t="str">
        <f>IFERROR(ج_ح_فروردین14[[#This Row],[جمع ح و م م بیمه ]]*7%,"")</f>
        <v/>
      </c>
      <c r="U18"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18" s="46" t="str">
        <f>IFERROR(ج_ح_فروردین14[[#This Row],[وام]]+ج_ح_فروردین14[[#This Row],[مساعده]]+ج_ح_فروردین14[[#This Row],[بیمه پرداختنی]]+ج_ح_فروردین14[[#This Row],[مالیات پرداختنی]],"")</f>
        <v/>
      </c>
      <c r="W18" s="46" t="str">
        <f>IFERROR(ج_ح_فروردین14[[#This Row],[جمع ح و م]]-ج_ح_فروردین14[[#This Row],[جمع کسورات]],"")</f>
        <v/>
      </c>
    </row>
    <row r="19" spans="2:23" s="41" customFormat="1" ht="32.1" customHeight="1">
      <c r="B19" s="41">
        <v>1</v>
      </c>
      <c r="C19" s="42" t="str">
        <f>IF(ج_ح_فروردین14[[#This Row],[نام]]&lt;&gt;"",ROW()-7+1,"")</f>
        <v/>
      </c>
      <c r="D19" s="43"/>
      <c r="E19" s="43"/>
      <c r="F19" s="44"/>
      <c r="G19" s="45"/>
      <c r="H19" s="46" t="str">
        <f>IF(ج_ح_فروردین14[[#This Row],[کارکرد]]*ج_ح_فروردین14[[#This Row],[دستمزد روزانه ]]=0,"",ج_ح_فروردین14[[#This Row],[کارکرد]]*ج_ح_فروردین14[[#This Row],[دستمزد روزانه ]])</f>
        <v/>
      </c>
      <c r="I19" s="47"/>
      <c r="J19" s="48">
        <f>(ج_ح_فروردین14[[#This Row],[دستمزد روزانه ]]/7.33)*1.4*ج_ح_فروردین14[[#This Row],[مدت اضافه کاری ]]</f>
        <v>0</v>
      </c>
      <c r="K19" s="46" t="str">
        <f>IF(ج_ح_فروردین14[[#This Row],[کارکرد]]="","",ج_ح_فروردین14[[#This Row],[کارکرد]]*حق_مسکن/30)</f>
        <v/>
      </c>
      <c r="L19" s="49"/>
      <c r="M19" s="46" t="str">
        <f>IF(ج_ح_فروردین14[[#This Row],[تعداد فرزندان]]="","",ج_ح_فروردین14[[#This Row],[کارکرد]]/31*3*ج_ح_فروردین14[[#This Row],[تعداد فرزندان]]*حداقل_حقوق_پایه_روزانه)</f>
        <v/>
      </c>
      <c r="N19" s="46" t="str">
        <f>IF(ج_ح_فروردین14[[#This Row],[کارکرد]]="","",ج_ح_فروردین14[[#This Row],[کارکرد]]*حق_خواربار/30)</f>
        <v/>
      </c>
      <c r="O19" s="46" t="str">
        <f>IFERROR(ج_ح_فروردین14[[#This Row],[حقوق پایه]]+ج_ح_فروردین14[[#This Row],[اضافه کاری]]+ج_ح_فروردین14[[#This Row],[حق مسکن]]+ج_ح_فروردین14[[#This Row],[حق اولاد]]+ج_ح_فروردین14[[#This Row],[حق و خواروبار]],"")</f>
        <v/>
      </c>
      <c r="P19"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19" s="46" t="str">
        <f>IFERROR(ج_ح_فروردین14[[#This Row],[حقوق پایه]]+ج_ح_فروردین14[[#This Row],[اضافه کاری]]+-(2/7)*ج_ح_فروردین14[[#This Row],[بیمه پرداختنی]],"")</f>
        <v/>
      </c>
      <c r="R19" s="45">
        <v>0</v>
      </c>
      <c r="S19" s="45">
        <v>0</v>
      </c>
      <c r="T19" s="46" t="str">
        <f>IFERROR(ج_ح_فروردین14[[#This Row],[جمع ح و م م بیمه ]]*7%,"")</f>
        <v/>
      </c>
      <c r="U19"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19" s="46" t="str">
        <f>IFERROR(ج_ح_فروردین14[[#This Row],[وام]]+ج_ح_فروردین14[[#This Row],[مساعده]]+ج_ح_فروردین14[[#This Row],[بیمه پرداختنی]]+ج_ح_فروردین14[[#This Row],[مالیات پرداختنی]],"")</f>
        <v/>
      </c>
      <c r="W19" s="46" t="str">
        <f>IFERROR(ج_ح_فروردین14[[#This Row],[جمع ح و م]]-ج_ح_فروردین14[[#This Row],[جمع کسورات]],"")</f>
        <v/>
      </c>
    </row>
    <row r="20" spans="2:23" s="41" customFormat="1" ht="32.1" customHeight="1">
      <c r="B20" s="41">
        <v>1</v>
      </c>
      <c r="C20" s="42" t="str">
        <f>IF(ج_ح_فروردین14[[#This Row],[نام]]&lt;&gt;"",ROW()-7+1,"")</f>
        <v/>
      </c>
      <c r="D20" s="43"/>
      <c r="E20" s="43"/>
      <c r="F20" s="44"/>
      <c r="G20" s="45"/>
      <c r="H20" s="46" t="str">
        <f>IF(ج_ح_فروردین14[[#This Row],[کارکرد]]*ج_ح_فروردین14[[#This Row],[دستمزد روزانه ]]=0,"",ج_ح_فروردین14[[#This Row],[کارکرد]]*ج_ح_فروردین14[[#This Row],[دستمزد روزانه ]])</f>
        <v/>
      </c>
      <c r="I20" s="47"/>
      <c r="J20" s="48">
        <f>(ج_ح_فروردین14[[#This Row],[دستمزد روزانه ]]/7.33)*1.4*ج_ح_فروردین14[[#This Row],[مدت اضافه کاری ]]</f>
        <v>0</v>
      </c>
      <c r="K20" s="46" t="str">
        <f>IF(ج_ح_فروردین14[[#This Row],[کارکرد]]="","",ج_ح_فروردین14[[#This Row],[کارکرد]]*حق_مسکن/30)</f>
        <v/>
      </c>
      <c r="L20" s="49"/>
      <c r="M20" s="46" t="str">
        <f>IF(ج_ح_فروردین14[[#This Row],[تعداد فرزندان]]="","",ج_ح_فروردین14[[#This Row],[کارکرد]]/31*3*ج_ح_فروردین14[[#This Row],[تعداد فرزندان]]*حداقل_حقوق_پایه_روزانه)</f>
        <v/>
      </c>
      <c r="N20" s="46" t="str">
        <f>IF(ج_ح_فروردین14[[#This Row],[کارکرد]]="","",ج_ح_فروردین14[[#This Row],[کارکرد]]*حق_خواربار/30)</f>
        <v/>
      </c>
      <c r="O20" s="46" t="str">
        <f>IFERROR(ج_ح_فروردین14[[#This Row],[حقوق پایه]]+ج_ح_فروردین14[[#This Row],[اضافه کاری]]+ج_ح_فروردین14[[#This Row],[حق مسکن]]+ج_ح_فروردین14[[#This Row],[حق اولاد]]+ج_ح_فروردین14[[#This Row],[حق و خواروبار]],"")</f>
        <v/>
      </c>
      <c r="P20"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20" s="46" t="str">
        <f>IFERROR(ج_ح_فروردین14[[#This Row],[حقوق پایه]]+ج_ح_فروردین14[[#This Row],[اضافه کاری]]+-(2/7)*ج_ح_فروردین14[[#This Row],[بیمه پرداختنی]],"")</f>
        <v/>
      </c>
      <c r="R20" s="45">
        <v>0</v>
      </c>
      <c r="S20" s="45">
        <v>0</v>
      </c>
      <c r="T20" s="46" t="str">
        <f>IFERROR(ج_ح_فروردین14[[#This Row],[جمع ح و م م بیمه ]]*7%,"")</f>
        <v/>
      </c>
      <c r="U20"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20" s="46" t="str">
        <f>IFERROR(ج_ح_فروردین14[[#This Row],[وام]]+ج_ح_فروردین14[[#This Row],[مساعده]]+ج_ح_فروردین14[[#This Row],[بیمه پرداختنی]]+ج_ح_فروردین14[[#This Row],[مالیات پرداختنی]],"")</f>
        <v/>
      </c>
      <c r="W20" s="46" t="str">
        <f>IFERROR(ج_ح_فروردین14[[#This Row],[جمع ح و م]]-ج_ح_فروردین14[[#This Row],[جمع کسورات]],"")</f>
        <v/>
      </c>
    </row>
    <row r="21" spans="2:23" s="41" customFormat="1" ht="32.1" customHeight="1">
      <c r="B21" s="41">
        <v>1</v>
      </c>
      <c r="C21" s="42" t="str">
        <f>IF(ج_ح_فروردین14[[#This Row],[نام]]&lt;&gt;"",ROW()-7+1,"")</f>
        <v/>
      </c>
      <c r="D21" s="43"/>
      <c r="E21" s="43"/>
      <c r="F21" s="44"/>
      <c r="G21" s="45"/>
      <c r="H21" s="46" t="str">
        <f>IF(ج_ح_فروردین14[[#This Row],[کارکرد]]*ج_ح_فروردین14[[#This Row],[دستمزد روزانه ]]=0,"",ج_ح_فروردین14[[#This Row],[کارکرد]]*ج_ح_فروردین14[[#This Row],[دستمزد روزانه ]])</f>
        <v/>
      </c>
      <c r="I21" s="47"/>
      <c r="J21" s="48">
        <f>(ج_ح_فروردین14[[#This Row],[دستمزد روزانه ]]/7.33)*1.4*ج_ح_فروردین14[[#This Row],[مدت اضافه کاری ]]</f>
        <v>0</v>
      </c>
      <c r="K21" s="46" t="str">
        <f>IF(ج_ح_فروردین14[[#This Row],[کارکرد]]="","",ج_ح_فروردین14[[#This Row],[کارکرد]]*حق_مسکن/30)</f>
        <v/>
      </c>
      <c r="L21" s="49"/>
      <c r="M21" s="46" t="str">
        <f>IF(ج_ح_فروردین14[[#This Row],[تعداد فرزندان]]="","",ج_ح_فروردین14[[#This Row],[کارکرد]]/31*3*ج_ح_فروردین14[[#This Row],[تعداد فرزندان]]*حداقل_حقوق_پایه_روزانه)</f>
        <v/>
      </c>
      <c r="N21" s="46" t="str">
        <f>IF(ج_ح_فروردین14[[#This Row],[کارکرد]]="","",ج_ح_فروردین14[[#This Row],[کارکرد]]*حق_خواربار/30)</f>
        <v/>
      </c>
      <c r="O21" s="46" t="str">
        <f>IFERROR(ج_ح_فروردین14[[#This Row],[حقوق پایه]]+ج_ح_فروردین14[[#This Row],[اضافه کاری]]+ج_ح_فروردین14[[#This Row],[حق مسکن]]+ج_ح_فروردین14[[#This Row],[حق اولاد]]+ج_ح_فروردین14[[#This Row],[حق و خواروبار]],"")</f>
        <v/>
      </c>
      <c r="P21"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21" s="46" t="str">
        <f>IFERROR(ج_ح_فروردین14[[#This Row],[حقوق پایه]]+ج_ح_فروردین14[[#This Row],[اضافه کاری]]+-(2/7)*ج_ح_فروردین14[[#This Row],[بیمه پرداختنی]],"")</f>
        <v/>
      </c>
      <c r="R21" s="45">
        <v>0</v>
      </c>
      <c r="S21" s="45">
        <v>0</v>
      </c>
      <c r="T21" s="46" t="str">
        <f>IFERROR(ج_ح_فروردین14[[#This Row],[جمع ح و م م بیمه ]]*7%,"")</f>
        <v/>
      </c>
      <c r="U21"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21" s="46" t="str">
        <f>IFERROR(ج_ح_فروردین14[[#This Row],[وام]]+ج_ح_فروردین14[[#This Row],[مساعده]]+ج_ح_فروردین14[[#This Row],[بیمه پرداختنی]]+ج_ح_فروردین14[[#This Row],[مالیات پرداختنی]],"")</f>
        <v/>
      </c>
      <c r="W21" s="46" t="str">
        <f>IFERROR(ج_ح_فروردین14[[#This Row],[جمع ح و م]]-ج_ح_فروردین14[[#This Row],[جمع کسورات]],"")</f>
        <v/>
      </c>
    </row>
    <row r="22" spans="2:23" s="41" customFormat="1" ht="32.1" customHeight="1">
      <c r="B22" s="41">
        <v>1</v>
      </c>
      <c r="C22" s="42" t="str">
        <f>IF(ج_ح_فروردین14[[#This Row],[نام]]&lt;&gt;"",ROW()-7+1,"")</f>
        <v/>
      </c>
      <c r="D22" s="43"/>
      <c r="E22" s="43"/>
      <c r="F22" s="44"/>
      <c r="G22" s="45"/>
      <c r="H22" s="46" t="str">
        <f>IF(ج_ح_فروردین14[[#This Row],[کارکرد]]*ج_ح_فروردین14[[#This Row],[دستمزد روزانه ]]=0,"",ج_ح_فروردین14[[#This Row],[کارکرد]]*ج_ح_فروردین14[[#This Row],[دستمزد روزانه ]])</f>
        <v/>
      </c>
      <c r="I22" s="47"/>
      <c r="J22" s="48">
        <f>(ج_ح_فروردین14[[#This Row],[دستمزد روزانه ]]/7.33)*1.4*ج_ح_فروردین14[[#This Row],[مدت اضافه کاری ]]</f>
        <v>0</v>
      </c>
      <c r="K22" s="46" t="str">
        <f>IF(ج_ح_فروردین14[[#This Row],[کارکرد]]="","",ج_ح_فروردین14[[#This Row],[کارکرد]]*حق_مسکن/30)</f>
        <v/>
      </c>
      <c r="L22" s="49"/>
      <c r="M22" s="46" t="str">
        <f>IF(ج_ح_فروردین14[[#This Row],[تعداد فرزندان]]="","",ج_ح_فروردین14[[#This Row],[کارکرد]]/31*3*ج_ح_فروردین14[[#This Row],[تعداد فرزندان]]*حداقل_حقوق_پایه_روزانه)</f>
        <v/>
      </c>
      <c r="N22" s="46" t="str">
        <f>IF(ج_ح_فروردین14[[#This Row],[کارکرد]]="","",ج_ح_فروردین14[[#This Row],[کارکرد]]*حق_خواربار/30)</f>
        <v/>
      </c>
      <c r="O22" s="46" t="str">
        <f>IFERROR(ج_ح_فروردین14[[#This Row],[حقوق پایه]]+ج_ح_فروردین14[[#This Row],[اضافه کاری]]+ج_ح_فروردین14[[#This Row],[حق مسکن]]+ج_ح_فروردین14[[#This Row],[حق اولاد]]+ج_ح_فروردین14[[#This Row],[حق و خواروبار]],"")</f>
        <v/>
      </c>
      <c r="P22"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22" s="46" t="str">
        <f>IFERROR(ج_ح_فروردین14[[#This Row],[حقوق پایه]]+ج_ح_فروردین14[[#This Row],[اضافه کاری]]+-(2/7)*ج_ح_فروردین14[[#This Row],[بیمه پرداختنی]],"")</f>
        <v/>
      </c>
      <c r="R22" s="45">
        <v>0</v>
      </c>
      <c r="S22" s="45">
        <v>0</v>
      </c>
      <c r="T22" s="46" t="str">
        <f>IFERROR(ج_ح_فروردین14[[#This Row],[جمع ح و م م بیمه ]]*7%,"")</f>
        <v/>
      </c>
      <c r="U22"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22" s="46" t="str">
        <f>IFERROR(ج_ح_فروردین14[[#This Row],[وام]]+ج_ح_فروردین14[[#This Row],[مساعده]]+ج_ح_فروردین14[[#This Row],[بیمه پرداختنی]]+ج_ح_فروردین14[[#This Row],[مالیات پرداختنی]],"")</f>
        <v/>
      </c>
      <c r="W22" s="46" t="str">
        <f>IFERROR(ج_ح_فروردین14[[#This Row],[جمع ح و م]]-ج_ح_فروردین14[[#This Row],[جمع کسورات]],"")</f>
        <v/>
      </c>
    </row>
    <row r="23" spans="2:23" s="41" customFormat="1" ht="32.1" customHeight="1">
      <c r="B23" s="41">
        <v>1</v>
      </c>
      <c r="C23" s="42" t="str">
        <f>IF(ج_ح_فروردین14[[#This Row],[نام]]&lt;&gt;"",ROW()-7+1,"")</f>
        <v/>
      </c>
      <c r="D23" s="43"/>
      <c r="E23" s="43"/>
      <c r="F23" s="44"/>
      <c r="G23" s="45"/>
      <c r="H23" s="46" t="str">
        <f>IF(ج_ح_فروردین14[[#This Row],[کارکرد]]*ج_ح_فروردین14[[#This Row],[دستمزد روزانه ]]=0,"",ج_ح_فروردین14[[#This Row],[کارکرد]]*ج_ح_فروردین14[[#This Row],[دستمزد روزانه ]])</f>
        <v/>
      </c>
      <c r="I23" s="47"/>
      <c r="J23" s="48">
        <f>(ج_ح_فروردین14[[#This Row],[دستمزد روزانه ]]/7.33)*1.4*ج_ح_فروردین14[[#This Row],[مدت اضافه کاری ]]</f>
        <v>0</v>
      </c>
      <c r="K23" s="46" t="str">
        <f>IF(ج_ح_فروردین14[[#This Row],[کارکرد]]="","",ج_ح_فروردین14[[#This Row],[کارکرد]]*حق_مسکن/30)</f>
        <v/>
      </c>
      <c r="L23" s="49"/>
      <c r="M23" s="46" t="str">
        <f>IF(ج_ح_فروردین14[[#This Row],[تعداد فرزندان]]="","",ج_ح_فروردین14[[#This Row],[کارکرد]]/31*3*ج_ح_فروردین14[[#This Row],[تعداد فرزندان]]*حداقل_حقوق_پایه_روزانه)</f>
        <v/>
      </c>
      <c r="N23" s="46" t="str">
        <f>IF(ج_ح_فروردین14[[#This Row],[کارکرد]]="","",ج_ح_فروردین14[[#This Row],[کارکرد]]*حق_خواربار/30)</f>
        <v/>
      </c>
      <c r="O23" s="46" t="str">
        <f>IFERROR(ج_ح_فروردین14[[#This Row],[حقوق پایه]]+ج_ح_فروردین14[[#This Row],[اضافه کاری]]+ج_ح_فروردین14[[#This Row],[حق مسکن]]+ج_ح_فروردین14[[#This Row],[حق اولاد]]+ج_ح_فروردین14[[#This Row],[حق و خواروبار]],"")</f>
        <v/>
      </c>
      <c r="P23"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23" s="46" t="str">
        <f>IFERROR(ج_ح_فروردین14[[#This Row],[حقوق پایه]]+ج_ح_فروردین14[[#This Row],[اضافه کاری]]+-(2/7)*ج_ح_فروردین14[[#This Row],[بیمه پرداختنی]],"")</f>
        <v/>
      </c>
      <c r="R23" s="45">
        <v>0</v>
      </c>
      <c r="S23" s="45">
        <v>0</v>
      </c>
      <c r="T23" s="46" t="str">
        <f>IFERROR(ج_ح_فروردین14[[#This Row],[جمع ح و م م بیمه ]]*7%,"")</f>
        <v/>
      </c>
      <c r="U23"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23" s="46" t="str">
        <f>IFERROR(ج_ح_فروردین14[[#This Row],[وام]]+ج_ح_فروردین14[[#This Row],[مساعده]]+ج_ح_فروردین14[[#This Row],[بیمه پرداختنی]]+ج_ح_فروردین14[[#This Row],[مالیات پرداختنی]],"")</f>
        <v/>
      </c>
      <c r="W23" s="46" t="str">
        <f>IFERROR(ج_ح_فروردین14[[#This Row],[جمع ح و م]]-ج_ح_فروردین14[[#This Row],[جمع کسورات]],"")</f>
        <v/>
      </c>
    </row>
    <row r="24" spans="2:23" s="41" customFormat="1" ht="32.1" customHeight="1">
      <c r="B24" s="41">
        <v>1</v>
      </c>
      <c r="C24" s="42" t="str">
        <f>IF(ج_ح_فروردین14[[#This Row],[نام]]&lt;&gt;"",ROW()-7+1,"")</f>
        <v/>
      </c>
      <c r="D24" s="43"/>
      <c r="E24" s="43"/>
      <c r="F24" s="44"/>
      <c r="G24" s="45"/>
      <c r="H24" s="46" t="str">
        <f>IF(ج_ح_فروردین14[[#This Row],[کارکرد]]*ج_ح_فروردین14[[#This Row],[دستمزد روزانه ]]=0,"",ج_ح_فروردین14[[#This Row],[کارکرد]]*ج_ح_فروردین14[[#This Row],[دستمزد روزانه ]])</f>
        <v/>
      </c>
      <c r="I24" s="47"/>
      <c r="J24" s="48">
        <f>(ج_ح_فروردین14[[#This Row],[دستمزد روزانه ]]/7.33)*1.4*ج_ح_فروردین14[[#This Row],[مدت اضافه کاری ]]</f>
        <v>0</v>
      </c>
      <c r="K24" s="46" t="str">
        <f>IF(ج_ح_فروردین14[[#This Row],[کارکرد]]="","",ج_ح_فروردین14[[#This Row],[کارکرد]]*حق_مسکن/30)</f>
        <v/>
      </c>
      <c r="L24" s="49"/>
      <c r="M24" s="46" t="str">
        <f>IF(ج_ح_فروردین14[[#This Row],[تعداد فرزندان]]="","",ج_ح_فروردین14[[#This Row],[کارکرد]]/31*3*ج_ح_فروردین14[[#This Row],[تعداد فرزندان]]*حداقل_حقوق_پایه_روزانه)</f>
        <v/>
      </c>
      <c r="N24" s="46" t="str">
        <f>IF(ج_ح_فروردین14[[#This Row],[کارکرد]]="","",ج_ح_فروردین14[[#This Row],[کارکرد]]*حق_خواربار/30)</f>
        <v/>
      </c>
      <c r="O24" s="46" t="str">
        <f>IFERROR(ج_ح_فروردین14[[#This Row],[حقوق پایه]]+ج_ح_فروردین14[[#This Row],[اضافه کاری]]+ج_ح_فروردین14[[#This Row],[حق مسکن]]+ج_ح_فروردین14[[#This Row],[حق اولاد]]+ج_ح_فروردین14[[#This Row],[حق و خواروبار]],"")</f>
        <v/>
      </c>
      <c r="P24"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24" s="46" t="str">
        <f>IFERROR(ج_ح_فروردین14[[#This Row],[حقوق پایه]]+ج_ح_فروردین14[[#This Row],[اضافه کاری]]+-(2/7)*ج_ح_فروردین14[[#This Row],[بیمه پرداختنی]],"")</f>
        <v/>
      </c>
      <c r="R24" s="45">
        <v>0</v>
      </c>
      <c r="S24" s="45">
        <v>0</v>
      </c>
      <c r="T24" s="46" t="str">
        <f>IFERROR(ج_ح_فروردین14[[#This Row],[جمع ح و م م بیمه ]]*7%,"")</f>
        <v/>
      </c>
      <c r="U24"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24" s="46" t="str">
        <f>IFERROR(ج_ح_فروردین14[[#This Row],[وام]]+ج_ح_فروردین14[[#This Row],[مساعده]]+ج_ح_فروردین14[[#This Row],[بیمه پرداختنی]]+ج_ح_فروردین14[[#This Row],[مالیات پرداختنی]],"")</f>
        <v/>
      </c>
      <c r="W24" s="46" t="str">
        <f>IFERROR(ج_ح_فروردین14[[#This Row],[جمع ح و م]]-ج_ح_فروردین14[[#This Row],[جمع کسورات]],"")</f>
        <v/>
      </c>
    </row>
    <row r="25" spans="2:23" s="41" customFormat="1" ht="32.1" customHeight="1">
      <c r="B25" s="41">
        <v>1</v>
      </c>
      <c r="C25" s="42" t="str">
        <f>IF(ج_ح_فروردین14[[#This Row],[نام]]&lt;&gt;"",ROW()-7+1,"")</f>
        <v/>
      </c>
      <c r="D25" s="43"/>
      <c r="E25" s="43"/>
      <c r="F25" s="44"/>
      <c r="G25" s="45"/>
      <c r="H25" s="46" t="str">
        <f>IF(ج_ح_فروردین14[[#This Row],[کارکرد]]*ج_ح_فروردین14[[#This Row],[دستمزد روزانه ]]=0,"",ج_ح_فروردین14[[#This Row],[کارکرد]]*ج_ح_فروردین14[[#This Row],[دستمزد روزانه ]])</f>
        <v/>
      </c>
      <c r="I25" s="47"/>
      <c r="J25" s="48">
        <f>(ج_ح_فروردین14[[#This Row],[دستمزد روزانه ]]/7.33)*1.4*ج_ح_فروردین14[[#This Row],[مدت اضافه کاری ]]</f>
        <v>0</v>
      </c>
      <c r="K25" s="46" t="str">
        <f>IF(ج_ح_فروردین14[[#This Row],[کارکرد]]="","",ج_ح_فروردین14[[#This Row],[کارکرد]]*حق_مسکن/30)</f>
        <v/>
      </c>
      <c r="L25" s="49"/>
      <c r="M25" s="46" t="str">
        <f>IF(ج_ح_فروردین14[[#This Row],[تعداد فرزندان]]="","",ج_ح_فروردین14[[#This Row],[کارکرد]]/31*3*ج_ح_فروردین14[[#This Row],[تعداد فرزندان]]*حداقل_حقوق_پایه_روزانه)</f>
        <v/>
      </c>
      <c r="N25" s="46" t="str">
        <f>IF(ج_ح_فروردین14[[#This Row],[کارکرد]]="","",ج_ح_فروردین14[[#This Row],[کارکرد]]*حق_خواربار/30)</f>
        <v/>
      </c>
      <c r="O25" s="46" t="str">
        <f>IFERROR(ج_ح_فروردین14[[#This Row],[حقوق پایه]]+ج_ح_فروردین14[[#This Row],[اضافه کاری]]+ج_ح_فروردین14[[#This Row],[حق مسکن]]+ج_ح_فروردین14[[#This Row],[حق اولاد]]+ج_ح_فروردین14[[#This Row],[حق و خواروبار]],"")</f>
        <v/>
      </c>
      <c r="P25"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25" s="46" t="str">
        <f>IFERROR(ج_ح_فروردین14[[#This Row],[حقوق پایه]]+ج_ح_فروردین14[[#This Row],[اضافه کاری]]+-(2/7)*ج_ح_فروردین14[[#This Row],[بیمه پرداختنی]],"")</f>
        <v/>
      </c>
      <c r="R25" s="45">
        <v>0</v>
      </c>
      <c r="S25" s="45">
        <v>0</v>
      </c>
      <c r="T25" s="46" t="str">
        <f>IFERROR(ج_ح_فروردین14[[#This Row],[جمع ح و م م بیمه ]]*7%,"")</f>
        <v/>
      </c>
      <c r="U25"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25" s="46" t="str">
        <f>IFERROR(ج_ح_فروردین14[[#This Row],[وام]]+ج_ح_فروردین14[[#This Row],[مساعده]]+ج_ح_فروردین14[[#This Row],[بیمه پرداختنی]]+ج_ح_فروردین14[[#This Row],[مالیات پرداختنی]],"")</f>
        <v/>
      </c>
      <c r="W25" s="46" t="str">
        <f>IFERROR(ج_ح_فروردین14[[#This Row],[جمع ح و م]]-ج_ح_فروردین14[[#This Row],[جمع کسورات]],"")</f>
        <v/>
      </c>
    </row>
    <row r="26" spans="2:23" s="41" customFormat="1" ht="32.1" customHeight="1">
      <c r="B26" s="41">
        <v>1</v>
      </c>
      <c r="C26" s="42" t="str">
        <f>IF(ج_ح_فروردین14[[#This Row],[نام]]&lt;&gt;"",ROW()-7+1,"")</f>
        <v/>
      </c>
      <c r="D26" s="43"/>
      <c r="E26" s="43"/>
      <c r="F26" s="44"/>
      <c r="G26" s="45"/>
      <c r="H26" s="46" t="str">
        <f>IF(ج_ح_فروردین14[[#This Row],[کارکرد]]*ج_ح_فروردین14[[#This Row],[دستمزد روزانه ]]=0,"",ج_ح_فروردین14[[#This Row],[کارکرد]]*ج_ح_فروردین14[[#This Row],[دستمزد روزانه ]])</f>
        <v/>
      </c>
      <c r="I26" s="47"/>
      <c r="J26" s="48">
        <f>(ج_ح_فروردین14[[#This Row],[دستمزد روزانه ]]/7.33)*1.4*ج_ح_فروردین14[[#This Row],[مدت اضافه کاری ]]</f>
        <v>0</v>
      </c>
      <c r="K26" s="46" t="str">
        <f>IF(ج_ح_فروردین14[[#This Row],[کارکرد]]="","",ج_ح_فروردین14[[#This Row],[کارکرد]]*حق_مسکن/30)</f>
        <v/>
      </c>
      <c r="L26" s="49"/>
      <c r="M26" s="46" t="str">
        <f>IF(ج_ح_فروردین14[[#This Row],[تعداد فرزندان]]="","",ج_ح_فروردین14[[#This Row],[کارکرد]]/31*3*ج_ح_فروردین14[[#This Row],[تعداد فرزندان]]*حداقل_حقوق_پایه_روزانه)</f>
        <v/>
      </c>
      <c r="N26" s="46" t="str">
        <f>IF(ج_ح_فروردین14[[#This Row],[کارکرد]]="","",ج_ح_فروردین14[[#This Row],[کارکرد]]*حق_خواربار/30)</f>
        <v/>
      </c>
      <c r="O26" s="46" t="str">
        <f>IFERROR(ج_ح_فروردین14[[#This Row],[حقوق پایه]]+ج_ح_فروردین14[[#This Row],[اضافه کاری]]+ج_ح_فروردین14[[#This Row],[حق مسکن]]+ج_ح_فروردین14[[#This Row],[حق اولاد]]+ج_ح_فروردین14[[#This Row],[حق و خواروبار]],"")</f>
        <v/>
      </c>
      <c r="P26"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26" s="46" t="str">
        <f>IFERROR(ج_ح_فروردین14[[#This Row],[حقوق پایه]]+ج_ح_فروردین14[[#This Row],[اضافه کاری]]+-(2/7)*ج_ح_فروردین14[[#This Row],[بیمه پرداختنی]],"")</f>
        <v/>
      </c>
      <c r="R26" s="45">
        <v>0</v>
      </c>
      <c r="S26" s="45">
        <v>0</v>
      </c>
      <c r="T26" s="46" t="str">
        <f>IFERROR(ج_ح_فروردین14[[#This Row],[جمع ح و م م بیمه ]]*7%,"")</f>
        <v/>
      </c>
      <c r="U26"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26" s="46" t="str">
        <f>IFERROR(ج_ح_فروردین14[[#This Row],[وام]]+ج_ح_فروردین14[[#This Row],[مساعده]]+ج_ح_فروردین14[[#This Row],[بیمه پرداختنی]]+ج_ح_فروردین14[[#This Row],[مالیات پرداختنی]],"")</f>
        <v/>
      </c>
      <c r="W26" s="46" t="str">
        <f>IFERROR(ج_ح_فروردین14[[#This Row],[جمع ح و م]]-ج_ح_فروردین14[[#This Row],[جمع کسورات]],"")</f>
        <v/>
      </c>
    </row>
    <row r="27" spans="2:23" s="41" customFormat="1" ht="32.1" customHeight="1">
      <c r="B27" s="41">
        <v>1</v>
      </c>
      <c r="C27" s="42" t="str">
        <f>IF(ج_ح_فروردین14[[#This Row],[نام]]&lt;&gt;"",ROW()-7+1,"")</f>
        <v/>
      </c>
      <c r="D27" s="43"/>
      <c r="E27" s="43"/>
      <c r="F27" s="44"/>
      <c r="G27" s="45"/>
      <c r="H27" s="46" t="str">
        <f>IF(ج_ح_فروردین14[[#This Row],[کارکرد]]*ج_ح_فروردین14[[#This Row],[دستمزد روزانه ]]=0,"",ج_ح_فروردین14[[#This Row],[کارکرد]]*ج_ح_فروردین14[[#This Row],[دستمزد روزانه ]])</f>
        <v/>
      </c>
      <c r="I27" s="47"/>
      <c r="J27" s="48">
        <f>(ج_ح_فروردین14[[#This Row],[دستمزد روزانه ]]/7.33)*1.4*ج_ح_فروردین14[[#This Row],[مدت اضافه کاری ]]</f>
        <v>0</v>
      </c>
      <c r="K27" s="46" t="str">
        <f>IF(ج_ح_فروردین14[[#This Row],[کارکرد]]="","",ج_ح_فروردین14[[#This Row],[کارکرد]]*حق_مسکن/30)</f>
        <v/>
      </c>
      <c r="L27" s="49"/>
      <c r="M27" s="46" t="str">
        <f>IF(ج_ح_فروردین14[[#This Row],[تعداد فرزندان]]="","",ج_ح_فروردین14[[#This Row],[کارکرد]]/31*3*ج_ح_فروردین14[[#This Row],[تعداد فرزندان]]*حداقل_حقوق_پایه_روزانه)</f>
        <v/>
      </c>
      <c r="N27" s="46" t="str">
        <f>IF(ج_ح_فروردین14[[#This Row],[کارکرد]]="","",ج_ح_فروردین14[[#This Row],[کارکرد]]*حق_خواربار/30)</f>
        <v/>
      </c>
      <c r="O27" s="46" t="str">
        <f>IFERROR(ج_ح_فروردین14[[#This Row],[حقوق پایه]]+ج_ح_فروردین14[[#This Row],[اضافه کاری]]+ج_ح_فروردین14[[#This Row],[حق مسکن]]+ج_ح_فروردین14[[#This Row],[حق اولاد]]+ج_ح_فروردین14[[#This Row],[حق و خواروبار]],"")</f>
        <v/>
      </c>
      <c r="P27"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27" s="46" t="str">
        <f>IFERROR(ج_ح_فروردین14[[#This Row],[حقوق پایه]]+ج_ح_فروردین14[[#This Row],[اضافه کاری]]+-(2/7)*ج_ح_فروردین14[[#This Row],[بیمه پرداختنی]],"")</f>
        <v/>
      </c>
      <c r="R27" s="45">
        <v>0</v>
      </c>
      <c r="S27" s="45">
        <v>0</v>
      </c>
      <c r="T27" s="46" t="str">
        <f>IFERROR(ج_ح_فروردین14[[#This Row],[جمع ح و م م بیمه ]]*7%,"")</f>
        <v/>
      </c>
      <c r="U27"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27" s="46" t="str">
        <f>IFERROR(ج_ح_فروردین14[[#This Row],[وام]]+ج_ح_فروردین14[[#This Row],[مساعده]]+ج_ح_فروردین14[[#This Row],[بیمه پرداختنی]]+ج_ح_فروردین14[[#This Row],[مالیات پرداختنی]],"")</f>
        <v/>
      </c>
      <c r="W27" s="46" t="str">
        <f>IFERROR(ج_ح_فروردین14[[#This Row],[جمع ح و م]]-ج_ح_فروردین14[[#This Row],[جمع کسورات]],"")</f>
        <v/>
      </c>
    </row>
    <row r="28" spans="2:23" s="41" customFormat="1" ht="32.1" customHeight="1">
      <c r="B28" s="41">
        <v>1</v>
      </c>
      <c r="C28" s="42" t="str">
        <f>IF(ج_ح_فروردین14[[#This Row],[نام]]&lt;&gt;"",ROW()-7+1,"")</f>
        <v/>
      </c>
      <c r="D28" s="43"/>
      <c r="E28" s="43"/>
      <c r="F28" s="44"/>
      <c r="G28" s="45"/>
      <c r="H28" s="46" t="str">
        <f>IF(ج_ح_فروردین14[[#This Row],[کارکرد]]*ج_ح_فروردین14[[#This Row],[دستمزد روزانه ]]=0,"",ج_ح_فروردین14[[#This Row],[کارکرد]]*ج_ح_فروردین14[[#This Row],[دستمزد روزانه ]])</f>
        <v/>
      </c>
      <c r="I28" s="47"/>
      <c r="J28" s="48">
        <f>(ج_ح_فروردین14[[#This Row],[دستمزد روزانه ]]/7.33)*1.4*ج_ح_فروردین14[[#This Row],[مدت اضافه کاری ]]</f>
        <v>0</v>
      </c>
      <c r="K28" s="46" t="str">
        <f>IF(ج_ح_فروردین14[[#This Row],[کارکرد]]="","",ج_ح_فروردین14[[#This Row],[کارکرد]]*حق_مسکن/30)</f>
        <v/>
      </c>
      <c r="L28" s="49"/>
      <c r="M28" s="46" t="str">
        <f>IF(ج_ح_فروردین14[[#This Row],[تعداد فرزندان]]="","",ج_ح_فروردین14[[#This Row],[کارکرد]]/31*3*ج_ح_فروردین14[[#This Row],[تعداد فرزندان]]*حداقل_حقوق_پایه_روزانه)</f>
        <v/>
      </c>
      <c r="N28" s="46" t="str">
        <f>IF(ج_ح_فروردین14[[#This Row],[کارکرد]]="","",ج_ح_فروردین14[[#This Row],[کارکرد]]*حق_خواربار/30)</f>
        <v/>
      </c>
      <c r="O28" s="46" t="str">
        <f>IFERROR(ج_ح_فروردین14[[#This Row],[حقوق پایه]]+ج_ح_فروردین14[[#This Row],[اضافه کاری]]+ج_ح_فروردین14[[#This Row],[حق مسکن]]+ج_ح_فروردین14[[#This Row],[حق اولاد]]+ج_ح_فروردین14[[#This Row],[حق و خواروبار]],"")</f>
        <v/>
      </c>
      <c r="P28"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28" s="46" t="str">
        <f>IFERROR(ج_ح_فروردین14[[#This Row],[حقوق پایه]]+ج_ح_فروردین14[[#This Row],[اضافه کاری]]+-(2/7)*ج_ح_فروردین14[[#This Row],[بیمه پرداختنی]],"")</f>
        <v/>
      </c>
      <c r="R28" s="45">
        <v>0</v>
      </c>
      <c r="S28" s="45">
        <v>0</v>
      </c>
      <c r="T28" s="46" t="str">
        <f>IFERROR(ج_ح_فروردین14[[#This Row],[جمع ح و م م بیمه ]]*7%,"")</f>
        <v/>
      </c>
      <c r="U28"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28" s="46" t="str">
        <f>IFERROR(ج_ح_فروردین14[[#This Row],[وام]]+ج_ح_فروردین14[[#This Row],[مساعده]]+ج_ح_فروردین14[[#This Row],[بیمه پرداختنی]]+ج_ح_فروردین14[[#This Row],[مالیات پرداختنی]],"")</f>
        <v/>
      </c>
      <c r="W28" s="46" t="str">
        <f>IFERROR(ج_ح_فروردین14[[#This Row],[جمع ح و م]]-ج_ح_فروردین14[[#This Row],[جمع کسورات]],"")</f>
        <v/>
      </c>
    </row>
    <row r="29" spans="2:23" s="41" customFormat="1" ht="32.1" customHeight="1">
      <c r="B29" s="41">
        <v>1</v>
      </c>
      <c r="C29" s="42" t="str">
        <f>IF(ج_ح_فروردین14[[#This Row],[نام]]&lt;&gt;"",ROW()-7+1,"")</f>
        <v/>
      </c>
      <c r="D29" s="43"/>
      <c r="E29" s="43"/>
      <c r="F29" s="44"/>
      <c r="G29" s="45"/>
      <c r="H29" s="46" t="str">
        <f>IF(ج_ح_فروردین14[[#This Row],[کارکرد]]*ج_ح_فروردین14[[#This Row],[دستمزد روزانه ]]=0,"",ج_ح_فروردین14[[#This Row],[کارکرد]]*ج_ح_فروردین14[[#This Row],[دستمزد روزانه ]])</f>
        <v/>
      </c>
      <c r="I29" s="47"/>
      <c r="J29" s="48">
        <f>(ج_ح_فروردین14[[#This Row],[دستمزد روزانه ]]/7.33)*1.4*ج_ح_فروردین14[[#This Row],[مدت اضافه کاری ]]</f>
        <v>0</v>
      </c>
      <c r="K29" s="46" t="str">
        <f>IF(ج_ح_فروردین14[[#This Row],[کارکرد]]="","",ج_ح_فروردین14[[#This Row],[کارکرد]]*حق_مسکن/30)</f>
        <v/>
      </c>
      <c r="L29" s="49"/>
      <c r="M29" s="46" t="str">
        <f>IF(ج_ح_فروردین14[[#This Row],[تعداد فرزندان]]="","",ج_ح_فروردین14[[#This Row],[کارکرد]]/31*3*ج_ح_فروردین14[[#This Row],[تعداد فرزندان]]*حداقل_حقوق_پایه_روزانه)</f>
        <v/>
      </c>
      <c r="N29" s="46" t="str">
        <f>IF(ج_ح_فروردین14[[#This Row],[کارکرد]]="","",ج_ح_فروردین14[[#This Row],[کارکرد]]*حق_خواربار/30)</f>
        <v/>
      </c>
      <c r="O29" s="46" t="str">
        <f>IFERROR(ج_ح_فروردین14[[#This Row],[حقوق پایه]]+ج_ح_فروردین14[[#This Row],[اضافه کاری]]+ج_ح_فروردین14[[#This Row],[حق مسکن]]+ج_ح_فروردین14[[#This Row],[حق اولاد]]+ج_ح_فروردین14[[#This Row],[حق و خواروبار]],"")</f>
        <v/>
      </c>
      <c r="P29"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29" s="46" t="str">
        <f>IFERROR(ج_ح_فروردین14[[#This Row],[حقوق پایه]]+ج_ح_فروردین14[[#This Row],[اضافه کاری]]+-(2/7)*ج_ح_فروردین14[[#This Row],[بیمه پرداختنی]],"")</f>
        <v/>
      </c>
      <c r="R29" s="45">
        <v>0</v>
      </c>
      <c r="S29" s="45">
        <v>0</v>
      </c>
      <c r="T29" s="46" t="str">
        <f>IFERROR(ج_ح_فروردین14[[#This Row],[جمع ح و م م بیمه ]]*7%,"")</f>
        <v/>
      </c>
      <c r="U29"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29" s="46" t="str">
        <f>IFERROR(ج_ح_فروردین14[[#This Row],[وام]]+ج_ح_فروردین14[[#This Row],[مساعده]]+ج_ح_فروردین14[[#This Row],[بیمه پرداختنی]]+ج_ح_فروردین14[[#This Row],[مالیات پرداختنی]],"")</f>
        <v/>
      </c>
      <c r="W29" s="46" t="str">
        <f>IFERROR(ج_ح_فروردین14[[#This Row],[جمع ح و م]]-ج_ح_فروردین14[[#This Row],[جمع کسورات]],"")</f>
        <v/>
      </c>
    </row>
    <row r="30" spans="2:23" s="41" customFormat="1" ht="32.1" customHeight="1">
      <c r="B30" s="41">
        <v>1</v>
      </c>
      <c r="C30" s="42" t="str">
        <f>IF(ج_ح_فروردین14[[#This Row],[نام]]&lt;&gt;"",ROW()-7+1,"")</f>
        <v/>
      </c>
      <c r="D30" s="43"/>
      <c r="E30" s="43"/>
      <c r="F30" s="44"/>
      <c r="G30" s="45"/>
      <c r="H30" s="46" t="str">
        <f>IF(ج_ح_فروردین14[[#This Row],[کارکرد]]*ج_ح_فروردین14[[#This Row],[دستمزد روزانه ]]=0,"",ج_ح_فروردین14[[#This Row],[کارکرد]]*ج_ح_فروردین14[[#This Row],[دستمزد روزانه ]])</f>
        <v/>
      </c>
      <c r="I30" s="47"/>
      <c r="J30" s="48">
        <f>(ج_ح_فروردین14[[#This Row],[دستمزد روزانه ]]/7.33)*1.4*ج_ح_فروردین14[[#This Row],[مدت اضافه کاری ]]</f>
        <v>0</v>
      </c>
      <c r="K30" s="46" t="str">
        <f>IF(ج_ح_فروردین14[[#This Row],[کارکرد]]="","",ج_ح_فروردین14[[#This Row],[کارکرد]]*حق_مسکن/30)</f>
        <v/>
      </c>
      <c r="L30" s="49"/>
      <c r="M30" s="46" t="str">
        <f>IF(ج_ح_فروردین14[[#This Row],[تعداد فرزندان]]="","",ج_ح_فروردین14[[#This Row],[کارکرد]]/31*3*ج_ح_فروردین14[[#This Row],[تعداد فرزندان]]*حداقل_حقوق_پایه_روزانه)</f>
        <v/>
      </c>
      <c r="N30" s="46" t="str">
        <f>IF(ج_ح_فروردین14[[#This Row],[کارکرد]]="","",ج_ح_فروردین14[[#This Row],[کارکرد]]*حق_خواربار/30)</f>
        <v/>
      </c>
      <c r="O30" s="46" t="str">
        <f>IFERROR(ج_ح_فروردین14[[#This Row],[حقوق پایه]]+ج_ح_فروردین14[[#This Row],[اضافه کاری]]+ج_ح_فروردین14[[#This Row],[حق مسکن]]+ج_ح_فروردین14[[#This Row],[حق اولاد]]+ج_ح_فروردین14[[#This Row],[حق و خواروبار]],"")</f>
        <v/>
      </c>
      <c r="P30"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30" s="46" t="str">
        <f>IFERROR(ج_ح_فروردین14[[#This Row],[حقوق پایه]]+ج_ح_فروردین14[[#This Row],[اضافه کاری]]+-(2/7)*ج_ح_فروردین14[[#This Row],[بیمه پرداختنی]],"")</f>
        <v/>
      </c>
      <c r="R30" s="45">
        <v>0</v>
      </c>
      <c r="S30" s="45">
        <v>0</v>
      </c>
      <c r="T30" s="46" t="str">
        <f>IFERROR(ج_ح_فروردین14[[#This Row],[جمع ح و م م بیمه ]]*7%,"")</f>
        <v/>
      </c>
      <c r="U30"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30" s="46" t="str">
        <f>IFERROR(ج_ح_فروردین14[[#This Row],[وام]]+ج_ح_فروردین14[[#This Row],[مساعده]]+ج_ح_فروردین14[[#This Row],[بیمه پرداختنی]]+ج_ح_فروردین14[[#This Row],[مالیات پرداختنی]],"")</f>
        <v/>
      </c>
      <c r="W30" s="46" t="str">
        <f>IFERROR(ج_ح_فروردین14[[#This Row],[جمع ح و م]]-ج_ح_فروردین14[[#This Row],[جمع کسورات]],"")</f>
        <v/>
      </c>
    </row>
    <row r="31" spans="2:23" s="41" customFormat="1" ht="32.1" customHeight="1">
      <c r="B31" s="41">
        <v>1</v>
      </c>
      <c r="C31" s="42" t="str">
        <f>IF(ج_ح_فروردین14[[#This Row],[نام]]&lt;&gt;"",ROW()-7+1,"")</f>
        <v/>
      </c>
      <c r="D31" s="43"/>
      <c r="E31" s="43"/>
      <c r="F31" s="44"/>
      <c r="G31" s="45"/>
      <c r="H31" s="46" t="str">
        <f>IF(ج_ح_فروردین14[[#This Row],[کارکرد]]*ج_ح_فروردین14[[#This Row],[دستمزد روزانه ]]=0,"",ج_ح_فروردین14[[#This Row],[کارکرد]]*ج_ح_فروردین14[[#This Row],[دستمزد روزانه ]])</f>
        <v/>
      </c>
      <c r="I31" s="47"/>
      <c r="J31" s="48">
        <f>(ج_ح_فروردین14[[#This Row],[دستمزد روزانه ]]/7.33)*1.4*ج_ح_فروردین14[[#This Row],[مدت اضافه کاری ]]</f>
        <v>0</v>
      </c>
      <c r="K31" s="46" t="str">
        <f>IF(ج_ح_فروردین14[[#This Row],[کارکرد]]="","",ج_ح_فروردین14[[#This Row],[کارکرد]]*حق_مسکن/30)</f>
        <v/>
      </c>
      <c r="L31" s="49"/>
      <c r="M31" s="46" t="str">
        <f>IF(ج_ح_فروردین14[[#This Row],[تعداد فرزندان]]="","",ج_ح_فروردین14[[#This Row],[کارکرد]]/31*3*ج_ح_فروردین14[[#This Row],[تعداد فرزندان]]*حداقل_حقوق_پایه_روزانه)</f>
        <v/>
      </c>
      <c r="N31" s="46" t="str">
        <f>IF(ج_ح_فروردین14[[#This Row],[کارکرد]]="","",ج_ح_فروردین14[[#This Row],[کارکرد]]*حق_خواربار/30)</f>
        <v/>
      </c>
      <c r="O31" s="46" t="str">
        <f>IFERROR(ج_ح_فروردین14[[#This Row],[حقوق پایه]]+ج_ح_فروردین14[[#This Row],[اضافه کاری]]+ج_ح_فروردین14[[#This Row],[حق مسکن]]+ج_ح_فروردین14[[#This Row],[حق اولاد]]+ج_ح_فروردین14[[#This Row],[حق و خواروبار]],"")</f>
        <v/>
      </c>
      <c r="P31"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31" s="46" t="str">
        <f>IFERROR(ج_ح_فروردین14[[#This Row],[حقوق پایه]]+ج_ح_فروردین14[[#This Row],[اضافه کاری]]+-(2/7)*ج_ح_فروردین14[[#This Row],[بیمه پرداختنی]],"")</f>
        <v/>
      </c>
      <c r="R31" s="45">
        <v>0</v>
      </c>
      <c r="S31" s="45">
        <v>0</v>
      </c>
      <c r="T31" s="46" t="str">
        <f>IFERROR(ج_ح_فروردین14[[#This Row],[جمع ح و م م بیمه ]]*7%,"")</f>
        <v/>
      </c>
      <c r="U31"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31" s="46" t="str">
        <f>IFERROR(ج_ح_فروردین14[[#This Row],[وام]]+ج_ح_فروردین14[[#This Row],[مساعده]]+ج_ح_فروردین14[[#This Row],[بیمه پرداختنی]]+ج_ح_فروردین14[[#This Row],[مالیات پرداختنی]],"")</f>
        <v/>
      </c>
      <c r="W31" s="46" t="str">
        <f>IFERROR(ج_ح_فروردین14[[#This Row],[جمع ح و م]]-ج_ح_فروردین14[[#This Row],[جمع کسورات]],"")</f>
        <v/>
      </c>
    </row>
    <row r="32" spans="2:23" s="41" customFormat="1" ht="32.1" customHeight="1">
      <c r="B32" s="41">
        <v>1</v>
      </c>
      <c r="C32" s="42" t="str">
        <f>IF(ج_ح_فروردین14[[#This Row],[نام]]&lt;&gt;"",ROW()-7+1,"")</f>
        <v/>
      </c>
      <c r="D32" s="43"/>
      <c r="E32" s="43"/>
      <c r="F32" s="44"/>
      <c r="G32" s="45"/>
      <c r="H32" s="46" t="str">
        <f>IF(ج_ح_فروردین14[[#This Row],[کارکرد]]*ج_ح_فروردین14[[#This Row],[دستمزد روزانه ]]=0,"",ج_ح_فروردین14[[#This Row],[کارکرد]]*ج_ح_فروردین14[[#This Row],[دستمزد روزانه ]])</f>
        <v/>
      </c>
      <c r="I32" s="47"/>
      <c r="J32" s="48">
        <f>(ج_ح_فروردین14[[#This Row],[دستمزد روزانه ]]/7.33)*1.4*ج_ح_فروردین14[[#This Row],[مدت اضافه کاری ]]</f>
        <v>0</v>
      </c>
      <c r="K32" s="46" t="str">
        <f>IF(ج_ح_فروردین14[[#This Row],[کارکرد]]="","",ج_ح_فروردین14[[#This Row],[کارکرد]]*حق_مسکن/30)</f>
        <v/>
      </c>
      <c r="L32" s="49"/>
      <c r="M32" s="46" t="str">
        <f>IF(ج_ح_فروردین14[[#This Row],[تعداد فرزندان]]="","",ج_ح_فروردین14[[#This Row],[کارکرد]]/31*3*ج_ح_فروردین14[[#This Row],[تعداد فرزندان]]*حداقل_حقوق_پایه_روزانه)</f>
        <v/>
      </c>
      <c r="N32" s="46" t="str">
        <f>IF(ج_ح_فروردین14[[#This Row],[کارکرد]]="","",ج_ح_فروردین14[[#This Row],[کارکرد]]*حق_خواربار/30)</f>
        <v/>
      </c>
      <c r="O32" s="46" t="str">
        <f>IFERROR(ج_ح_فروردین14[[#This Row],[حقوق پایه]]+ج_ح_فروردین14[[#This Row],[اضافه کاری]]+ج_ح_فروردین14[[#This Row],[حق مسکن]]+ج_ح_فروردین14[[#This Row],[حق اولاد]]+ج_ح_فروردین14[[#This Row],[حق و خواروبار]],"")</f>
        <v/>
      </c>
      <c r="P32"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32" s="46" t="str">
        <f>IFERROR(ج_ح_فروردین14[[#This Row],[حقوق پایه]]+ج_ح_فروردین14[[#This Row],[اضافه کاری]]+-(2/7)*ج_ح_فروردین14[[#This Row],[بیمه پرداختنی]],"")</f>
        <v/>
      </c>
      <c r="R32" s="45">
        <v>0</v>
      </c>
      <c r="S32" s="45">
        <v>0</v>
      </c>
      <c r="T32" s="46" t="str">
        <f>IFERROR(ج_ح_فروردین14[[#This Row],[جمع ح و م م بیمه ]]*7%,"")</f>
        <v/>
      </c>
      <c r="U32"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32" s="46" t="str">
        <f>IFERROR(ج_ح_فروردین14[[#This Row],[وام]]+ج_ح_فروردین14[[#This Row],[مساعده]]+ج_ح_فروردین14[[#This Row],[بیمه پرداختنی]]+ج_ح_فروردین14[[#This Row],[مالیات پرداختنی]],"")</f>
        <v/>
      </c>
      <c r="W32" s="46" t="str">
        <f>IFERROR(ج_ح_فروردین14[[#This Row],[جمع ح و م]]-ج_ح_فروردین14[[#This Row],[جمع کسورات]],"")</f>
        <v/>
      </c>
    </row>
    <row r="33" spans="1:23" s="41" customFormat="1" ht="32.1" customHeight="1">
      <c r="B33" s="41">
        <v>1</v>
      </c>
      <c r="C33" s="42" t="str">
        <f>IF(ج_ح_فروردین14[[#This Row],[نام]]&lt;&gt;"",ROW()-7+1,"")</f>
        <v/>
      </c>
      <c r="D33" s="43"/>
      <c r="E33" s="43"/>
      <c r="F33" s="44"/>
      <c r="G33" s="45"/>
      <c r="H33" s="46" t="str">
        <f>IF(ج_ح_فروردین14[[#This Row],[کارکرد]]*ج_ح_فروردین14[[#This Row],[دستمزد روزانه ]]=0,"",ج_ح_فروردین14[[#This Row],[کارکرد]]*ج_ح_فروردین14[[#This Row],[دستمزد روزانه ]])</f>
        <v/>
      </c>
      <c r="I33" s="47"/>
      <c r="J33" s="48">
        <f>(ج_ح_فروردین14[[#This Row],[دستمزد روزانه ]]/7.33)*1.4*ج_ح_فروردین14[[#This Row],[مدت اضافه کاری ]]</f>
        <v>0</v>
      </c>
      <c r="K33" s="46" t="str">
        <f>IF(ج_ح_فروردین14[[#This Row],[کارکرد]]="","",ج_ح_فروردین14[[#This Row],[کارکرد]]*حق_مسکن/30)</f>
        <v/>
      </c>
      <c r="L33" s="49"/>
      <c r="M33" s="46" t="str">
        <f>IF(ج_ح_فروردین14[[#This Row],[تعداد فرزندان]]="","",ج_ح_فروردین14[[#This Row],[کارکرد]]/31*3*ج_ح_فروردین14[[#This Row],[تعداد فرزندان]]*حداقل_حقوق_پایه_روزانه)</f>
        <v/>
      </c>
      <c r="N33" s="46" t="str">
        <f>IF(ج_ح_فروردین14[[#This Row],[کارکرد]]="","",ج_ح_فروردین14[[#This Row],[کارکرد]]*حق_خواربار/30)</f>
        <v/>
      </c>
      <c r="O33" s="46" t="str">
        <f>IFERROR(ج_ح_فروردین14[[#This Row],[حقوق پایه]]+ج_ح_فروردین14[[#This Row],[اضافه کاری]]+ج_ح_فروردین14[[#This Row],[حق مسکن]]+ج_ح_فروردین14[[#This Row],[حق اولاد]]+ج_ح_فروردین14[[#This Row],[حق و خواروبار]],"")</f>
        <v/>
      </c>
      <c r="P33"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33" s="46" t="str">
        <f>IFERROR(ج_ح_فروردین14[[#This Row],[حقوق پایه]]+ج_ح_فروردین14[[#This Row],[اضافه کاری]]+-(2/7)*ج_ح_فروردین14[[#This Row],[بیمه پرداختنی]],"")</f>
        <v/>
      </c>
      <c r="R33" s="45">
        <v>0</v>
      </c>
      <c r="S33" s="45">
        <v>0</v>
      </c>
      <c r="T33" s="46" t="str">
        <f>IFERROR(ج_ح_فروردین14[[#This Row],[جمع ح و م م بیمه ]]*7%,"")</f>
        <v/>
      </c>
      <c r="U33"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33" s="46" t="str">
        <f>IFERROR(ج_ح_فروردین14[[#This Row],[وام]]+ج_ح_فروردین14[[#This Row],[مساعده]]+ج_ح_فروردین14[[#This Row],[بیمه پرداختنی]]+ج_ح_فروردین14[[#This Row],[مالیات پرداختنی]],"")</f>
        <v/>
      </c>
      <c r="W33" s="46" t="str">
        <f>IFERROR(ج_ح_فروردین14[[#This Row],[جمع ح و م]]-ج_ح_فروردین14[[#This Row],[جمع کسورات]],"")</f>
        <v/>
      </c>
    </row>
    <row r="34" spans="1:23" s="41" customFormat="1" ht="32.1" customHeight="1">
      <c r="B34" s="41">
        <v>1</v>
      </c>
      <c r="C34" s="42" t="str">
        <f>IF(ج_ح_فروردین14[[#This Row],[نام]]&lt;&gt;"",ROW()-7+1,"")</f>
        <v/>
      </c>
      <c r="D34" s="43"/>
      <c r="E34" s="43"/>
      <c r="F34" s="44"/>
      <c r="G34" s="45"/>
      <c r="H34" s="46" t="str">
        <f>IF(ج_ح_فروردین14[[#This Row],[کارکرد]]*ج_ح_فروردین14[[#This Row],[دستمزد روزانه ]]=0,"",ج_ح_فروردین14[[#This Row],[کارکرد]]*ج_ح_فروردین14[[#This Row],[دستمزد روزانه ]])</f>
        <v/>
      </c>
      <c r="I34" s="47"/>
      <c r="J34" s="48">
        <f>(ج_ح_فروردین14[[#This Row],[دستمزد روزانه ]]/7.33)*1.4*ج_ح_فروردین14[[#This Row],[مدت اضافه کاری ]]</f>
        <v>0</v>
      </c>
      <c r="K34" s="46" t="str">
        <f>IF(ج_ح_فروردین14[[#This Row],[کارکرد]]="","",ج_ح_فروردین14[[#This Row],[کارکرد]]*حق_مسکن/30)</f>
        <v/>
      </c>
      <c r="L34" s="49"/>
      <c r="M34" s="46" t="str">
        <f>IF(ج_ح_فروردین14[[#This Row],[تعداد فرزندان]]="","",ج_ح_فروردین14[[#This Row],[کارکرد]]/31*3*ج_ح_فروردین14[[#This Row],[تعداد فرزندان]]*حداقل_حقوق_پایه_روزانه)</f>
        <v/>
      </c>
      <c r="N34" s="46" t="str">
        <f>IF(ج_ح_فروردین14[[#This Row],[کارکرد]]="","",ج_ح_فروردین14[[#This Row],[کارکرد]]*حق_خواربار/30)</f>
        <v/>
      </c>
      <c r="O34" s="46" t="str">
        <f>IFERROR(ج_ح_فروردین14[[#This Row],[حقوق پایه]]+ج_ح_فروردین14[[#This Row],[اضافه کاری]]+ج_ح_فروردین14[[#This Row],[حق مسکن]]+ج_ح_فروردین14[[#This Row],[حق اولاد]]+ج_ح_فروردین14[[#This Row],[حق و خواروبار]],"")</f>
        <v/>
      </c>
      <c r="P34"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34" s="46" t="str">
        <f>IFERROR(ج_ح_فروردین14[[#This Row],[حقوق پایه]]+ج_ح_فروردین14[[#This Row],[اضافه کاری]]+-(2/7)*ج_ح_فروردین14[[#This Row],[بیمه پرداختنی]],"")</f>
        <v/>
      </c>
      <c r="R34" s="45">
        <v>0</v>
      </c>
      <c r="S34" s="45">
        <v>0</v>
      </c>
      <c r="T34" s="46" t="str">
        <f>IFERROR(ج_ح_فروردین14[[#This Row],[جمع ح و م م بیمه ]]*7%,"")</f>
        <v/>
      </c>
      <c r="U34"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34" s="46" t="str">
        <f>IFERROR(ج_ح_فروردین14[[#This Row],[وام]]+ج_ح_فروردین14[[#This Row],[مساعده]]+ج_ح_فروردین14[[#This Row],[بیمه پرداختنی]]+ج_ح_فروردین14[[#This Row],[مالیات پرداختنی]],"")</f>
        <v/>
      </c>
      <c r="W34" s="46" t="str">
        <f>IFERROR(ج_ح_فروردین14[[#This Row],[جمع ح و م]]-ج_ح_فروردین14[[#This Row],[جمع کسورات]],"")</f>
        <v/>
      </c>
    </row>
    <row r="35" spans="1:23" s="41" customFormat="1" ht="32.1" customHeight="1">
      <c r="B35" s="41">
        <v>1</v>
      </c>
      <c r="C35" s="42" t="str">
        <f>IF(ج_ح_فروردین14[[#This Row],[نام]]&lt;&gt;"",ROW()-7+1,"")</f>
        <v/>
      </c>
      <c r="D35" s="43"/>
      <c r="E35" s="43"/>
      <c r="F35" s="44"/>
      <c r="G35" s="45"/>
      <c r="H35" s="46" t="str">
        <f>IF(ج_ح_فروردین14[[#This Row],[کارکرد]]*ج_ح_فروردین14[[#This Row],[دستمزد روزانه ]]=0,"",ج_ح_فروردین14[[#This Row],[کارکرد]]*ج_ح_فروردین14[[#This Row],[دستمزد روزانه ]])</f>
        <v/>
      </c>
      <c r="I35" s="47"/>
      <c r="J35" s="48">
        <f>(ج_ح_فروردین14[[#This Row],[دستمزد روزانه ]]/7.33)*1.4*ج_ح_فروردین14[[#This Row],[مدت اضافه کاری ]]</f>
        <v>0</v>
      </c>
      <c r="K35" s="46" t="str">
        <f>IF(ج_ح_فروردین14[[#This Row],[کارکرد]]="","",ج_ح_فروردین14[[#This Row],[کارکرد]]*حق_مسکن/30)</f>
        <v/>
      </c>
      <c r="L35" s="49"/>
      <c r="M35" s="46" t="str">
        <f>IF(ج_ح_فروردین14[[#This Row],[تعداد فرزندان]]="","",ج_ح_فروردین14[[#This Row],[کارکرد]]/31*3*ج_ح_فروردین14[[#This Row],[تعداد فرزندان]]*حداقل_حقوق_پایه_روزانه)</f>
        <v/>
      </c>
      <c r="N35" s="46" t="str">
        <f>IF(ج_ح_فروردین14[[#This Row],[کارکرد]]="","",ج_ح_فروردین14[[#This Row],[کارکرد]]*حق_خواربار/30)</f>
        <v/>
      </c>
      <c r="O35" s="46" t="str">
        <f>IFERROR(ج_ح_فروردین14[[#This Row],[حقوق پایه]]+ج_ح_فروردین14[[#This Row],[اضافه کاری]]+ج_ح_فروردین14[[#This Row],[حق مسکن]]+ج_ح_فروردین14[[#This Row],[حق اولاد]]+ج_ح_فروردین14[[#This Row],[حق و خواروبار]],"")</f>
        <v/>
      </c>
      <c r="P35"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35" s="46" t="str">
        <f>IFERROR(ج_ح_فروردین14[[#This Row],[حقوق پایه]]+ج_ح_فروردین14[[#This Row],[اضافه کاری]]+-(2/7)*ج_ح_فروردین14[[#This Row],[بیمه پرداختنی]],"")</f>
        <v/>
      </c>
      <c r="R35" s="45">
        <v>0</v>
      </c>
      <c r="S35" s="45">
        <v>0</v>
      </c>
      <c r="T35" s="46" t="str">
        <f>IFERROR(ج_ح_فروردین14[[#This Row],[جمع ح و م م بیمه ]]*7%,"")</f>
        <v/>
      </c>
      <c r="U35"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35" s="46" t="str">
        <f>IFERROR(ج_ح_فروردین14[[#This Row],[وام]]+ج_ح_فروردین14[[#This Row],[مساعده]]+ج_ح_فروردین14[[#This Row],[بیمه پرداختنی]]+ج_ح_فروردین14[[#This Row],[مالیات پرداختنی]],"")</f>
        <v/>
      </c>
      <c r="W35" s="46" t="str">
        <f>IFERROR(ج_ح_فروردین14[[#This Row],[جمع ح و م]]-ج_ح_فروردین14[[#This Row],[جمع کسورات]],"")</f>
        <v/>
      </c>
    </row>
    <row r="36" spans="1:23" s="41" customFormat="1" ht="32.1" customHeight="1">
      <c r="B36" s="41">
        <v>1</v>
      </c>
      <c r="C36" s="42" t="str">
        <f>IF(ج_ح_فروردین14[[#This Row],[نام]]&lt;&gt;"",ROW()-7+1,"")</f>
        <v/>
      </c>
      <c r="D36" s="43"/>
      <c r="E36" s="43"/>
      <c r="F36" s="44"/>
      <c r="G36" s="45"/>
      <c r="H36" s="46" t="str">
        <f>IF(ج_ح_فروردین14[[#This Row],[کارکرد]]*ج_ح_فروردین14[[#This Row],[دستمزد روزانه ]]=0,"",ج_ح_فروردین14[[#This Row],[کارکرد]]*ج_ح_فروردین14[[#This Row],[دستمزد روزانه ]])</f>
        <v/>
      </c>
      <c r="I36" s="47"/>
      <c r="J36" s="48">
        <f>(ج_ح_فروردین14[[#This Row],[دستمزد روزانه ]]/7.33)*1.4*ج_ح_فروردین14[[#This Row],[مدت اضافه کاری ]]</f>
        <v>0</v>
      </c>
      <c r="K36" s="46" t="str">
        <f>IF(ج_ح_فروردین14[[#This Row],[کارکرد]]="","",ج_ح_فروردین14[[#This Row],[کارکرد]]*حق_مسکن/30)</f>
        <v/>
      </c>
      <c r="L36" s="49"/>
      <c r="M36" s="46" t="str">
        <f>IF(ج_ح_فروردین14[[#This Row],[تعداد فرزندان]]="","",ج_ح_فروردین14[[#This Row],[کارکرد]]/31*3*ج_ح_فروردین14[[#This Row],[تعداد فرزندان]]*حداقل_حقوق_پایه_روزانه)</f>
        <v/>
      </c>
      <c r="N36" s="46" t="str">
        <f>IF(ج_ح_فروردین14[[#This Row],[کارکرد]]="","",ج_ح_فروردین14[[#This Row],[کارکرد]]*حق_خواربار/30)</f>
        <v/>
      </c>
      <c r="O36" s="46" t="str">
        <f>IFERROR(ج_ح_فروردین14[[#This Row],[حقوق پایه]]+ج_ح_فروردین14[[#This Row],[اضافه کاری]]+ج_ح_فروردین14[[#This Row],[حق مسکن]]+ج_ح_فروردین14[[#This Row],[حق اولاد]]+ج_ح_فروردین14[[#This Row],[حق و خواروبار]],"")</f>
        <v/>
      </c>
      <c r="P36" s="46" t="str">
        <f>IFERROR(IF(ج_ح_فروردین14[[#This Row],[حقوق پایه]]+ج_ح_فروردین14[[#This Row],[اضافه کاری]]+ج_ح_فروردین14[[#This Row],[حق مسکن]]+ج_ح_فروردین14[[#This Row],[حق و خواروبار]]&gt;حداکثر_حقوق_مشمول_بیمه_ماهانه,حداکثر_حقوق_مشمول_بیمه_ماهانه,ج_ح_فروردین14[[#This Row],[حقوق پایه]]+ج_ح_فروردین14[[#This Row],[اضافه کاری]]+ج_ح_فروردین14[[#This Row],[حق مسکن]]+ج_ح_فروردین14[[#This Row],[حق و خواروبار]]),"")</f>
        <v/>
      </c>
      <c r="Q36" s="46" t="str">
        <f>IFERROR(ج_ح_فروردین14[[#This Row],[حقوق پایه]]+ج_ح_فروردین14[[#This Row],[اضافه کاری]]+-(2/7)*ج_ح_فروردین14[[#This Row],[بیمه پرداختنی]],"")</f>
        <v/>
      </c>
      <c r="R36" s="45">
        <v>0</v>
      </c>
      <c r="S36" s="45">
        <v>0</v>
      </c>
      <c r="T36" s="46" t="str">
        <f>IFERROR(ج_ح_فروردین14[[#This Row],[جمع ح و م م بیمه ]]*7%,"")</f>
        <v/>
      </c>
      <c r="U36" s="50" t="str">
        <f>IFERROR(IF(ج_ح_فروردین14[[#This Row],[جمع ح و م م مالیات]]&gt;=320000000,(ج_ح_فروردین14[[#This Row], [جمع ح و م م مالیات]]-320000000)*35%+61000000,
IF(ج_ح_فروردین14[[#This Row],[جمع ح و م م مالیات]]&gt;=240000000,(ج_ح_فروردین14[[#This Row], [جمع ح و م م مالیات]]-240000000)*30%+37000000,
IF(ج_ح_فروردین14[[#This Row],[جمع ح و م م مالیات]]&gt;=180000000,(ج_ح_فروردین14[[#This Row], [جمع ح و م م مالیات]]-180000000)*25%+22000000,
IF(ج_ح_فروردین14[[#This Row],[جمع ح و م م مالیات]]&gt;=120000000,(ج_ح_فروردین14[[#This Row], [جمع ح و م م مالیات]]-120000000)*20%+10000000,
IF(ج_ح_فروردین14[[#This Row],[جمع ح و م م مالیات]]&gt;=80000000,(ج_ح_فروردین14[[#This Row], [جمع ح و م م مالیات]]-80000000)*15%+4000000,
IF(ج_ح_فروردین14[[#This Row],[جمع ح و م م مالیات]]&gt;=40000000,(ج_ح_فروردین14[[#This Row], [جمع ح و م م مالیات]]-40000000)*10%,0)))))),"")</f>
        <v/>
      </c>
      <c r="V36" s="46" t="str">
        <f>IFERROR(ج_ح_فروردین14[[#This Row],[وام]]+ج_ح_فروردین14[[#This Row],[مساعده]]+ج_ح_فروردین14[[#This Row],[بیمه پرداختنی]]+ج_ح_فروردین14[[#This Row],[مالیات پرداختنی]],"")</f>
        <v/>
      </c>
      <c r="W36" s="46" t="str">
        <f>IFERROR(ج_ح_فروردین14[[#This Row],[جمع ح و م]]-ج_ح_فروردین14[[#This Row],[جمع کسورات]],"")</f>
        <v/>
      </c>
    </row>
    <row r="37" spans="1:23" ht="32.1" customHeight="1">
      <c r="B37" s="32">
        <v>1</v>
      </c>
      <c r="C37" s="51"/>
      <c r="D37" s="52"/>
      <c r="E37" s="52" t="s">
        <v>124</v>
      </c>
      <c r="F37" s="53">
        <f>SUBTOTAL(109,ج_ح_فروردین14[کارکرد])</f>
        <v>31</v>
      </c>
      <c r="G37" s="54">
        <f>SUBTOTAL(109,ج_ح_فروردین14[[دستمزد روزانه ]])</f>
        <v>1000000</v>
      </c>
      <c r="H37" s="54">
        <f>SUBTOTAL(109,ج_ح_فروردین14[حقوق پایه])</f>
        <v>31000000</v>
      </c>
      <c r="I37" s="55">
        <f>SUBTOTAL(109,ج_ح_فروردین14[[مدت اضافه کاری ]])</f>
        <v>7.33</v>
      </c>
      <c r="J37" s="56">
        <f>SUBTOTAL(109,ج_ح_فروردین14[اضافه کاری])</f>
        <v>1400000</v>
      </c>
      <c r="K37" s="54">
        <f>SUBTOTAL(109,ج_ح_فروردین14[حق مسکن])</f>
        <v>0</v>
      </c>
      <c r="L37" s="57">
        <f>SUBTOTAL(109,ج_ح_فروردین14[تعداد فرزندان])</f>
        <v>1</v>
      </c>
      <c r="M37" s="54">
        <f>SUBTOTAL(109,ج_ح_فروردین14[حق اولاد])</f>
        <v>0</v>
      </c>
      <c r="N37" s="54">
        <f>SUBTOTAL(109,ج_ح_فروردین14[حق و خواروبار])</f>
        <v>0</v>
      </c>
      <c r="O37" s="54">
        <f>SUBTOTAL(109,ج_ح_فروردین14[جمع ح و م])</f>
        <v>32400000</v>
      </c>
      <c r="P37" s="54">
        <f>SUBTOTAL(109,ج_ح_فروردین14[[جمع ح و م م بیمه ]])</f>
        <v>0</v>
      </c>
      <c r="Q37" s="54">
        <f>SUBTOTAL(109,ج_ح_فروردین14[جمع ح و م م مالیات])</f>
        <v>0</v>
      </c>
      <c r="R37" s="54">
        <f>SUBTOTAL(109,ج_ح_فروردین14[وام])</f>
        <v>0</v>
      </c>
      <c r="S37" s="54">
        <f>SUBTOTAL(109,ج_ح_فروردین14[مساعده])</f>
        <v>0</v>
      </c>
      <c r="T37" s="54">
        <f>SUBTOTAL(109,ج_ح_فروردین14[بیمه پرداختنی])</f>
        <v>0</v>
      </c>
      <c r="U37" s="54">
        <f>SUBTOTAL(109,ج_ح_فروردین14[مالیات پرداختنی])</f>
        <v>0</v>
      </c>
      <c r="V37" s="54">
        <f>SUBTOTAL(109,ج_ح_فروردین14[جمع کسورات])</f>
        <v>0</v>
      </c>
      <c r="W37" s="54">
        <f>SUBTOTAL(109,ج_ح_فروردین14[خالص قابل پرداخت])</f>
        <v>0</v>
      </c>
    </row>
    <row r="38" spans="1:23" ht="8.1" customHeight="1"/>
    <row r="39" spans="1:23" s="33" customFormat="1" ht="39.950000000000003" customHeight="1">
      <c r="A39" s="34"/>
      <c r="B39" s="34"/>
      <c r="C39" s="111" t="s">
        <v>94</v>
      </c>
      <c r="D39" s="111"/>
      <c r="E39" s="111"/>
      <c r="F39" s="111"/>
      <c r="G39" s="111"/>
      <c r="H39" s="111"/>
      <c r="I39" s="111"/>
      <c r="J39" s="111"/>
      <c r="K39" s="111"/>
      <c r="L39" s="111"/>
      <c r="M39" s="111"/>
      <c r="N39" s="111"/>
      <c r="O39" s="111"/>
      <c r="P39" s="111"/>
      <c r="Q39" s="111"/>
      <c r="R39" s="111"/>
      <c r="S39" s="111"/>
      <c r="T39" s="111"/>
      <c r="U39" s="111"/>
      <c r="V39" s="111"/>
      <c r="W39" s="111"/>
    </row>
    <row r="40" spans="1:23" s="33" customFormat="1" ht="50.1" customHeight="1">
      <c r="C40" s="112" t="s">
        <v>125</v>
      </c>
      <c r="D40" s="112"/>
      <c r="E40" s="112"/>
      <c r="F40" s="112"/>
      <c r="G40" s="112"/>
      <c r="H40" s="112"/>
      <c r="I40" s="112"/>
      <c r="J40" s="112"/>
      <c r="K40" s="112"/>
      <c r="L40" s="112"/>
      <c r="M40" s="112"/>
      <c r="N40" s="112"/>
      <c r="O40" s="112"/>
      <c r="P40" s="112"/>
      <c r="Q40" s="112"/>
      <c r="R40" s="112"/>
      <c r="S40" s="112"/>
      <c r="T40" s="112"/>
      <c r="U40" s="112"/>
      <c r="V40" s="112"/>
      <c r="W40" s="112"/>
    </row>
    <row r="41" spans="1:23" s="35" customFormat="1" ht="63.6" customHeight="1">
      <c r="C41" s="104" t="s">
        <v>45</v>
      </c>
      <c r="D41" s="36" t="s">
        <v>96</v>
      </c>
      <c r="E41" s="36" t="s">
        <v>97</v>
      </c>
      <c r="F41" s="36" t="s">
        <v>98</v>
      </c>
      <c r="G41" s="36" t="s">
        <v>99</v>
      </c>
      <c r="H41" s="36" t="s">
        <v>100</v>
      </c>
      <c r="I41" s="36" t="s">
        <v>101</v>
      </c>
      <c r="J41" s="36" t="s">
        <v>102</v>
      </c>
      <c r="K41" s="36" t="s">
        <v>17</v>
      </c>
      <c r="L41" s="36" t="s">
        <v>103</v>
      </c>
      <c r="M41" s="36" t="s">
        <v>104</v>
      </c>
      <c r="N41" s="36" t="s">
        <v>105</v>
      </c>
      <c r="O41" s="36" t="s">
        <v>106</v>
      </c>
      <c r="P41" s="36" t="s">
        <v>107</v>
      </c>
      <c r="Q41" s="36" t="s">
        <v>108</v>
      </c>
      <c r="R41" s="36" t="s">
        <v>109</v>
      </c>
      <c r="S41" s="36" t="s">
        <v>110</v>
      </c>
      <c r="T41" s="36" t="s">
        <v>111</v>
      </c>
      <c r="U41" s="36" t="s">
        <v>112</v>
      </c>
      <c r="V41" s="36" t="s">
        <v>113</v>
      </c>
      <c r="W41" s="36" t="s">
        <v>114</v>
      </c>
    </row>
    <row r="42" spans="1:23" s="33" customFormat="1" ht="32.1" customHeight="1">
      <c r="C42" s="104"/>
      <c r="D42" s="37">
        <v>1</v>
      </c>
      <c r="E42" s="37">
        <v>2</v>
      </c>
      <c r="F42" s="37">
        <v>3</v>
      </c>
      <c r="G42" s="37">
        <v>4</v>
      </c>
      <c r="H42" s="37">
        <v>5</v>
      </c>
      <c r="I42" s="37">
        <v>6</v>
      </c>
      <c r="J42" s="37">
        <v>7</v>
      </c>
      <c r="K42" s="37">
        <v>8</v>
      </c>
      <c r="L42" s="37">
        <v>9</v>
      </c>
      <c r="M42" s="37">
        <v>10</v>
      </c>
      <c r="N42" s="37">
        <v>11</v>
      </c>
      <c r="O42" s="37">
        <v>12</v>
      </c>
      <c r="P42" s="37">
        <v>13</v>
      </c>
      <c r="Q42" s="37">
        <v>14</v>
      </c>
      <c r="R42" s="37">
        <v>15</v>
      </c>
      <c r="S42" s="37">
        <v>16</v>
      </c>
      <c r="T42" s="37">
        <v>17</v>
      </c>
      <c r="U42" s="37">
        <v>18</v>
      </c>
      <c r="V42" s="37">
        <v>19</v>
      </c>
      <c r="W42" s="38">
        <v>20</v>
      </c>
    </row>
    <row r="43" spans="1:23" s="33" customFormat="1" ht="20.100000000000001" customHeight="1">
      <c r="C43" s="39" t="s">
        <v>45</v>
      </c>
      <c r="D43" s="39" t="s">
        <v>96</v>
      </c>
      <c r="E43" s="39" t="s">
        <v>97</v>
      </c>
      <c r="F43" s="39" t="s">
        <v>98</v>
      </c>
      <c r="G43" s="39" t="s">
        <v>99</v>
      </c>
      <c r="H43" s="39" t="s">
        <v>100</v>
      </c>
      <c r="I43" s="39" t="s">
        <v>115</v>
      </c>
      <c r="J43" s="39" t="s">
        <v>102</v>
      </c>
      <c r="K43" s="39" t="s">
        <v>17</v>
      </c>
      <c r="L43" s="39" t="s">
        <v>116</v>
      </c>
      <c r="M43" s="39" t="s">
        <v>104</v>
      </c>
      <c r="N43" s="39" t="s">
        <v>117</v>
      </c>
      <c r="O43" s="39" t="s">
        <v>118</v>
      </c>
      <c r="P43" s="39" t="s">
        <v>119</v>
      </c>
      <c r="Q43" s="40" t="s">
        <v>120</v>
      </c>
      <c r="R43" s="39" t="s">
        <v>109</v>
      </c>
      <c r="S43" s="39" t="s">
        <v>110</v>
      </c>
      <c r="T43" s="40" t="s">
        <v>121</v>
      </c>
      <c r="U43" s="40" t="s">
        <v>14</v>
      </c>
      <c r="V43" s="39" t="s">
        <v>113</v>
      </c>
      <c r="W43" s="39" t="s">
        <v>122</v>
      </c>
    </row>
    <row r="44" spans="1:23" s="41" customFormat="1" ht="32.1" customHeight="1">
      <c r="B44" s="41">
        <f>B37+1</f>
        <v>2</v>
      </c>
      <c r="C44" s="42">
        <f>IF(ج_ح_اردیبهشت15[[#This Row],[نام]]&lt;&gt;"",ROW()-44+1,"")</f>
        <v>1</v>
      </c>
      <c r="D44" s="43" t="s">
        <v>126</v>
      </c>
      <c r="E44" s="43" t="s">
        <v>126</v>
      </c>
      <c r="F44" s="44">
        <v>31</v>
      </c>
      <c r="G44" s="45">
        <v>1000000</v>
      </c>
      <c r="H44" s="46">
        <f>IF(ج_ح_اردیبهشت15[[#This Row],[کارکرد]]*ج_ح_اردیبهشت15[[#This Row],[دستمزد روزانه ]]=0,"",ج_ح_اردیبهشت15[[#This Row],[کارکرد]]*ج_ح_اردیبهشت15[[#This Row],[دستمزد روزانه ]])</f>
        <v>31000000</v>
      </c>
      <c r="I44" s="47">
        <v>7.33</v>
      </c>
      <c r="J44" s="48">
        <f>(ج_ح_اردیبهشت15[[#This Row],[دستمزد روزانه ]]/7.33)*1.4*ج_ح_اردیبهشت15[[#This Row],[مدت اضافه کاری ]]</f>
        <v>1400000</v>
      </c>
      <c r="K44" s="46">
        <f>IF(ج_ح_اردیبهشت15[[#This Row],[کارکرد]]="","",ج_ح_اردیبهشت15[[#This Row],[کارکرد]]*حق_مسکن/30)</f>
        <v>0</v>
      </c>
      <c r="L44" s="49">
        <v>1</v>
      </c>
      <c r="M44" s="46">
        <f>IF(ج_ح_اردیبهشت15[[#This Row],[تعداد فرزندان]]="","",ج_ح_اردیبهشت15[[#This Row],[کارکرد]]/31*3*ج_ح_اردیبهشت15[[#This Row],[تعداد فرزندان]]*حداقل_حقوق_پایه_روزانه)</f>
        <v>0</v>
      </c>
      <c r="N44" s="46">
        <f>IF(ج_ح_اردیبهشت15[[#This Row],[کارکرد]]="","",ج_ح_اردیبهشت15[[#This Row],[کارکرد]]*حق_خواربار/30)</f>
        <v>0</v>
      </c>
      <c r="O44" s="46">
        <f>IFERROR(ج_ح_اردیبهشت15[[#This Row],[حقوق پایه]]+ج_ح_اردیبهشت15[[#This Row],[اضافه کاری]]+ج_ح_اردیبهشت15[[#This Row],[حق مسکن]]+ج_ح_اردیبهشت15[[#This Row],[حق اولاد]]+ج_ح_اردیبهشت15[[#This Row],[حق و خواروبار]],"")</f>
        <v>32400000</v>
      </c>
      <c r="P44"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44" s="46" t="str">
        <f>IFERROR(ج_ح_اردیبهشت15[[#This Row],[حقوق پایه]]+ج_ح_اردیبهشت15[[#This Row],[اضافه کاری]]-(2/7)*ج_ح_اردیبهشت15[[#This Row],[بیمه پرداختنی]],"")</f>
        <v/>
      </c>
      <c r="R44" s="45">
        <v>0</v>
      </c>
      <c r="S44" s="45">
        <v>0</v>
      </c>
      <c r="T44" s="46" t="str">
        <f>IFERROR(ج_ح_اردیبهشت15[[#This Row],[جمع ح و م م بیمه ]]*7%,"")</f>
        <v/>
      </c>
      <c r="U44"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44" s="46" t="str">
        <f>IFERROR(ج_ح_اردیبهشت15[[#This Row],[وام]]+ج_ح_اردیبهشت15[[#This Row],[مساعده]]+ج_ح_اردیبهشت15[[#This Row],[بیمه پرداختنی]]+ج_ح_اردیبهشت15[[#This Row],[مالیات پرداختنی]],"")</f>
        <v/>
      </c>
      <c r="W44" s="46" t="str">
        <f>IFERROR(ج_ح_اردیبهشت15[[#This Row],[جمع ح و م]]-ج_ح_اردیبهشت15[[#This Row],[جمع کسورات]],"")</f>
        <v/>
      </c>
    </row>
    <row r="45" spans="1:23" s="41" customFormat="1" ht="32.1" customHeight="1">
      <c r="B45" s="41">
        <f>B44</f>
        <v>2</v>
      </c>
      <c r="C45" s="42" t="str">
        <f>IF(ج_ح_اردیبهشت15[[#This Row],[نام]]&lt;&gt;"",ROW()-44+1,"")</f>
        <v/>
      </c>
      <c r="D45" s="43"/>
      <c r="E45" s="43"/>
      <c r="F45" s="44"/>
      <c r="G45" s="45"/>
      <c r="H45" s="46" t="str">
        <f>IF(ج_ح_اردیبهشت15[[#This Row],[کارکرد]]*ج_ح_اردیبهشت15[[#This Row],[دستمزد روزانه ]]=0,"",ج_ح_اردیبهشت15[[#This Row],[کارکرد]]*ج_ح_اردیبهشت15[[#This Row],[دستمزد روزانه ]])</f>
        <v/>
      </c>
      <c r="I45" s="47"/>
      <c r="J45" s="48">
        <f>(ج_ح_اردیبهشت15[[#This Row],[دستمزد روزانه ]]/7.33)*1.4*ج_ح_اردیبهشت15[[#This Row],[مدت اضافه کاری ]]</f>
        <v>0</v>
      </c>
      <c r="K45" s="46" t="str">
        <f>IF(ج_ح_اردیبهشت15[[#This Row],[کارکرد]]="","",ج_ح_اردیبهشت15[[#This Row],[کارکرد]]*حق_مسکن/30)</f>
        <v/>
      </c>
      <c r="L45" s="49"/>
      <c r="M45" s="46" t="str">
        <f>IF(ج_ح_اردیبهشت15[[#This Row],[تعداد فرزندان]]="","",ج_ح_اردیبهشت15[[#This Row],[کارکرد]]/31*3*ج_ح_اردیبهشت15[[#This Row],[تعداد فرزندان]]*حداقل_حقوق_پایه_روزانه)</f>
        <v/>
      </c>
      <c r="N45" s="46" t="str">
        <f>IF(ج_ح_اردیبهشت15[[#This Row],[کارکرد]]="","",ج_ح_اردیبهشت15[[#This Row],[کارکرد]]*حق_خواربار/30)</f>
        <v/>
      </c>
      <c r="O45" s="46" t="str">
        <f>IFERROR(ج_ح_اردیبهشت15[[#This Row],[حقوق پایه]]+ج_ح_اردیبهشت15[[#This Row],[اضافه کاری]]+ج_ح_اردیبهشت15[[#This Row],[حق مسکن]]+ج_ح_اردیبهشت15[[#This Row],[حق اولاد]]+ج_ح_اردیبهشت15[[#This Row],[حق و خواروبار]],"")</f>
        <v/>
      </c>
      <c r="P45"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45" s="46" t="str">
        <f>IFERROR(ج_ح_اردیبهشت15[[#This Row],[حقوق پایه]]+ج_ح_اردیبهشت15[[#This Row],[اضافه کاری]]-(2/7)*ج_ح_اردیبهشت15[[#This Row],[بیمه پرداختنی]],"")</f>
        <v/>
      </c>
      <c r="R45" s="45">
        <v>0</v>
      </c>
      <c r="S45" s="45">
        <v>0</v>
      </c>
      <c r="T45" s="46" t="str">
        <f>IFERROR(ج_ح_اردیبهشت15[[#This Row],[جمع ح و م م بیمه ]]*7%,"")</f>
        <v/>
      </c>
      <c r="U45"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45" s="46" t="str">
        <f>IFERROR(ج_ح_اردیبهشت15[[#This Row],[وام]]+ج_ح_اردیبهشت15[[#This Row],[مساعده]]+ج_ح_اردیبهشت15[[#This Row],[بیمه پرداختنی]]+ج_ح_اردیبهشت15[[#This Row],[مالیات پرداختنی]],"")</f>
        <v/>
      </c>
      <c r="W45" s="46" t="str">
        <f>IFERROR(ج_ح_اردیبهشت15[[#This Row],[جمع ح و م]]-ج_ح_اردیبهشت15[[#This Row],[جمع کسورات]],"")</f>
        <v/>
      </c>
    </row>
    <row r="46" spans="1:23" s="41" customFormat="1" ht="32.1" customHeight="1">
      <c r="B46" s="41">
        <f t="shared" ref="B46:B74" si="0">B45</f>
        <v>2</v>
      </c>
      <c r="C46" s="42" t="str">
        <f>IF(ج_ح_اردیبهشت15[[#This Row],[نام]]&lt;&gt;"",ROW()-44+1,"")</f>
        <v/>
      </c>
      <c r="D46" s="43"/>
      <c r="E46" s="43"/>
      <c r="F46" s="44"/>
      <c r="G46" s="45"/>
      <c r="H46" s="46" t="str">
        <f>IF(ج_ح_اردیبهشت15[[#This Row],[کارکرد]]*ج_ح_اردیبهشت15[[#This Row],[دستمزد روزانه ]]=0,"",ج_ح_اردیبهشت15[[#This Row],[کارکرد]]*ج_ح_اردیبهشت15[[#This Row],[دستمزد روزانه ]])</f>
        <v/>
      </c>
      <c r="I46" s="47"/>
      <c r="J46" s="48">
        <f>(ج_ح_اردیبهشت15[[#This Row],[دستمزد روزانه ]]/7.33)*1.4*ج_ح_اردیبهشت15[[#This Row],[مدت اضافه کاری ]]</f>
        <v>0</v>
      </c>
      <c r="K46" s="46" t="str">
        <f>IF(ج_ح_اردیبهشت15[[#This Row],[کارکرد]]="","",ج_ح_اردیبهشت15[[#This Row],[کارکرد]]*حق_مسکن/30)</f>
        <v/>
      </c>
      <c r="L46" s="49"/>
      <c r="M46" s="46" t="str">
        <f>IF(ج_ح_اردیبهشت15[[#This Row],[تعداد فرزندان]]="","",ج_ح_اردیبهشت15[[#This Row],[کارکرد]]/31*3*ج_ح_اردیبهشت15[[#This Row],[تعداد فرزندان]]*حداقل_حقوق_پایه_روزانه)</f>
        <v/>
      </c>
      <c r="N46" s="46" t="str">
        <f>IF(ج_ح_اردیبهشت15[[#This Row],[کارکرد]]="","",ج_ح_اردیبهشت15[[#This Row],[کارکرد]]*حق_خواربار/30)</f>
        <v/>
      </c>
      <c r="O46" s="46" t="str">
        <f>IFERROR(ج_ح_اردیبهشت15[[#This Row],[حقوق پایه]]+ج_ح_اردیبهشت15[[#This Row],[اضافه کاری]]+ج_ح_اردیبهشت15[[#This Row],[حق مسکن]]+ج_ح_اردیبهشت15[[#This Row],[حق اولاد]]+ج_ح_اردیبهشت15[[#This Row],[حق و خواروبار]],"")</f>
        <v/>
      </c>
      <c r="P46"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46" s="46" t="str">
        <f>IFERROR(ج_ح_اردیبهشت15[[#This Row],[حقوق پایه]]+ج_ح_اردیبهشت15[[#This Row],[اضافه کاری]]-(2/7)*ج_ح_اردیبهشت15[[#This Row],[بیمه پرداختنی]],"")</f>
        <v/>
      </c>
      <c r="R46" s="45">
        <v>0</v>
      </c>
      <c r="S46" s="45">
        <v>0</v>
      </c>
      <c r="T46" s="46" t="str">
        <f>IFERROR(ج_ح_اردیبهشت15[[#This Row],[جمع ح و م م بیمه ]]*7%,"")</f>
        <v/>
      </c>
      <c r="U46"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46" s="46" t="str">
        <f>IFERROR(ج_ح_اردیبهشت15[[#This Row],[وام]]+ج_ح_اردیبهشت15[[#This Row],[مساعده]]+ج_ح_اردیبهشت15[[#This Row],[بیمه پرداختنی]]+ج_ح_اردیبهشت15[[#This Row],[مالیات پرداختنی]],"")</f>
        <v/>
      </c>
      <c r="W46" s="46" t="str">
        <f>IFERROR(ج_ح_اردیبهشت15[[#This Row],[جمع ح و م]]-ج_ح_اردیبهشت15[[#This Row],[جمع کسورات]],"")</f>
        <v/>
      </c>
    </row>
    <row r="47" spans="1:23" s="41" customFormat="1" ht="32.1" customHeight="1">
      <c r="B47" s="41">
        <f t="shared" si="0"/>
        <v>2</v>
      </c>
      <c r="C47" s="42" t="str">
        <f>IF(ج_ح_اردیبهشت15[[#This Row],[نام]]&lt;&gt;"",ROW()-44+1,"")</f>
        <v/>
      </c>
      <c r="D47" s="43"/>
      <c r="E47" s="43"/>
      <c r="F47" s="44"/>
      <c r="G47" s="45"/>
      <c r="H47" s="46" t="str">
        <f>IF(ج_ح_اردیبهشت15[[#This Row],[کارکرد]]*ج_ح_اردیبهشت15[[#This Row],[دستمزد روزانه ]]=0,"",ج_ح_اردیبهشت15[[#This Row],[کارکرد]]*ج_ح_اردیبهشت15[[#This Row],[دستمزد روزانه ]])</f>
        <v/>
      </c>
      <c r="I47" s="47"/>
      <c r="J47" s="48">
        <f>(ج_ح_اردیبهشت15[[#This Row],[دستمزد روزانه ]]/7.33)*1.4*ج_ح_اردیبهشت15[[#This Row],[مدت اضافه کاری ]]</f>
        <v>0</v>
      </c>
      <c r="K47" s="46" t="str">
        <f>IF(ج_ح_اردیبهشت15[[#This Row],[کارکرد]]="","",ج_ح_اردیبهشت15[[#This Row],[کارکرد]]*حق_مسکن/30)</f>
        <v/>
      </c>
      <c r="L47" s="49"/>
      <c r="M47" s="46" t="str">
        <f>IF(ج_ح_اردیبهشت15[[#This Row],[تعداد فرزندان]]="","",ج_ح_اردیبهشت15[[#This Row],[کارکرد]]/31*3*ج_ح_اردیبهشت15[[#This Row],[تعداد فرزندان]]*حداقل_حقوق_پایه_روزانه)</f>
        <v/>
      </c>
      <c r="N47" s="46" t="str">
        <f>IF(ج_ح_اردیبهشت15[[#This Row],[کارکرد]]="","",ج_ح_اردیبهشت15[[#This Row],[کارکرد]]*حق_خواربار/30)</f>
        <v/>
      </c>
      <c r="O47" s="46" t="str">
        <f>IFERROR(ج_ح_اردیبهشت15[[#This Row],[حقوق پایه]]+ج_ح_اردیبهشت15[[#This Row],[اضافه کاری]]+ج_ح_اردیبهشت15[[#This Row],[حق مسکن]]+ج_ح_اردیبهشت15[[#This Row],[حق اولاد]]+ج_ح_اردیبهشت15[[#This Row],[حق و خواروبار]],"")</f>
        <v/>
      </c>
      <c r="P47"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47" s="46" t="str">
        <f>IFERROR(ج_ح_اردیبهشت15[[#This Row],[حقوق پایه]]+ج_ح_اردیبهشت15[[#This Row],[اضافه کاری]]-(2/7)*ج_ح_اردیبهشت15[[#This Row],[بیمه پرداختنی]],"")</f>
        <v/>
      </c>
      <c r="R47" s="45">
        <v>0</v>
      </c>
      <c r="S47" s="45">
        <v>0</v>
      </c>
      <c r="T47" s="46" t="str">
        <f>IFERROR(ج_ح_اردیبهشت15[[#This Row],[جمع ح و م م بیمه ]]*7%,"")</f>
        <v/>
      </c>
      <c r="U47"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47" s="46" t="str">
        <f>IFERROR(ج_ح_اردیبهشت15[[#This Row],[وام]]+ج_ح_اردیبهشت15[[#This Row],[مساعده]]+ج_ح_اردیبهشت15[[#This Row],[بیمه پرداختنی]]+ج_ح_اردیبهشت15[[#This Row],[مالیات پرداختنی]],"")</f>
        <v/>
      </c>
      <c r="W47" s="46" t="str">
        <f>IFERROR(ج_ح_اردیبهشت15[[#This Row],[جمع ح و م]]-ج_ح_اردیبهشت15[[#This Row],[جمع کسورات]],"")</f>
        <v/>
      </c>
    </row>
    <row r="48" spans="1:23" s="41" customFormat="1" ht="32.1" customHeight="1">
      <c r="B48" s="41">
        <f t="shared" si="0"/>
        <v>2</v>
      </c>
      <c r="C48" s="42" t="str">
        <f>IF(ج_ح_اردیبهشت15[[#This Row],[نام]]&lt;&gt;"",ROW()-44+1,"")</f>
        <v/>
      </c>
      <c r="D48" s="43"/>
      <c r="E48" s="43"/>
      <c r="F48" s="44"/>
      <c r="G48" s="45"/>
      <c r="H48" s="46" t="str">
        <f>IF(ج_ح_اردیبهشت15[[#This Row],[کارکرد]]*ج_ح_اردیبهشت15[[#This Row],[دستمزد روزانه ]]=0,"",ج_ح_اردیبهشت15[[#This Row],[کارکرد]]*ج_ح_اردیبهشت15[[#This Row],[دستمزد روزانه ]])</f>
        <v/>
      </c>
      <c r="I48" s="47"/>
      <c r="J48" s="48">
        <f>(ج_ح_اردیبهشت15[[#This Row],[دستمزد روزانه ]]/7.33)*1.4*ج_ح_اردیبهشت15[[#This Row],[مدت اضافه کاری ]]</f>
        <v>0</v>
      </c>
      <c r="K48" s="46" t="str">
        <f>IF(ج_ح_اردیبهشت15[[#This Row],[کارکرد]]="","",ج_ح_اردیبهشت15[[#This Row],[کارکرد]]*حق_مسکن/30)</f>
        <v/>
      </c>
      <c r="L48" s="49"/>
      <c r="M48" s="46" t="str">
        <f>IF(ج_ح_اردیبهشت15[[#This Row],[تعداد فرزندان]]="","",ج_ح_اردیبهشت15[[#This Row],[کارکرد]]/31*3*ج_ح_اردیبهشت15[[#This Row],[تعداد فرزندان]]*حداقل_حقوق_پایه_روزانه)</f>
        <v/>
      </c>
      <c r="N48" s="46" t="str">
        <f>IF(ج_ح_اردیبهشت15[[#This Row],[کارکرد]]="","",ج_ح_اردیبهشت15[[#This Row],[کارکرد]]*حق_خواربار/30)</f>
        <v/>
      </c>
      <c r="O48" s="46" t="str">
        <f>IFERROR(ج_ح_اردیبهشت15[[#This Row],[حقوق پایه]]+ج_ح_اردیبهشت15[[#This Row],[اضافه کاری]]+ج_ح_اردیبهشت15[[#This Row],[حق مسکن]]+ج_ح_اردیبهشت15[[#This Row],[حق اولاد]]+ج_ح_اردیبهشت15[[#This Row],[حق و خواروبار]],"")</f>
        <v/>
      </c>
      <c r="P48"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48" s="46" t="str">
        <f>IFERROR(ج_ح_اردیبهشت15[[#This Row],[حقوق پایه]]+ج_ح_اردیبهشت15[[#This Row],[اضافه کاری]]-(2/7)*ج_ح_اردیبهشت15[[#This Row],[بیمه پرداختنی]],"")</f>
        <v/>
      </c>
      <c r="R48" s="45">
        <v>0</v>
      </c>
      <c r="S48" s="45">
        <v>0</v>
      </c>
      <c r="T48" s="46" t="str">
        <f>IFERROR(ج_ح_اردیبهشت15[[#This Row],[جمع ح و م م بیمه ]]*7%,"")</f>
        <v/>
      </c>
      <c r="U48"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48" s="46" t="str">
        <f>IFERROR(ج_ح_اردیبهشت15[[#This Row],[وام]]+ج_ح_اردیبهشت15[[#This Row],[مساعده]]+ج_ح_اردیبهشت15[[#This Row],[بیمه پرداختنی]]+ج_ح_اردیبهشت15[[#This Row],[مالیات پرداختنی]],"")</f>
        <v/>
      </c>
      <c r="W48" s="46" t="str">
        <f>IFERROR(ج_ح_اردیبهشت15[[#This Row],[جمع ح و م]]-ج_ح_اردیبهشت15[[#This Row],[جمع کسورات]],"")</f>
        <v/>
      </c>
    </row>
    <row r="49" spans="2:23" s="41" customFormat="1" ht="32.1" customHeight="1">
      <c r="B49" s="41">
        <f t="shared" si="0"/>
        <v>2</v>
      </c>
      <c r="C49" s="42" t="str">
        <f>IF(ج_ح_اردیبهشت15[[#This Row],[نام]]&lt;&gt;"",ROW()-44+1,"")</f>
        <v/>
      </c>
      <c r="D49" s="43"/>
      <c r="E49" s="43"/>
      <c r="F49" s="44"/>
      <c r="G49" s="45"/>
      <c r="H49" s="46" t="str">
        <f>IF(ج_ح_اردیبهشت15[[#This Row],[کارکرد]]*ج_ح_اردیبهشت15[[#This Row],[دستمزد روزانه ]]=0,"",ج_ح_اردیبهشت15[[#This Row],[کارکرد]]*ج_ح_اردیبهشت15[[#This Row],[دستمزد روزانه ]])</f>
        <v/>
      </c>
      <c r="I49" s="47"/>
      <c r="J49" s="48">
        <f>(ج_ح_اردیبهشت15[[#This Row],[دستمزد روزانه ]]/7.33)*1.4*ج_ح_اردیبهشت15[[#This Row],[مدت اضافه کاری ]]</f>
        <v>0</v>
      </c>
      <c r="K49" s="46" t="str">
        <f>IF(ج_ح_اردیبهشت15[[#This Row],[کارکرد]]="","",ج_ح_اردیبهشت15[[#This Row],[کارکرد]]*حق_مسکن/30)</f>
        <v/>
      </c>
      <c r="L49" s="49"/>
      <c r="M49" s="46" t="str">
        <f>IF(ج_ح_اردیبهشت15[[#This Row],[تعداد فرزندان]]="","",ج_ح_اردیبهشت15[[#This Row],[کارکرد]]/31*3*ج_ح_اردیبهشت15[[#This Row],[تعداد فرزندان]]*حداقل_حقوق_پایه_روزانه)</f>
        <v/>
      </c>
      <c r="N49" s="46" t="str">
        <f>IF(ج_ح_اردیبهشت15[[#This Row],[کارکرد]]="","",ج_ح_اردیبهشت15[[#This Row],[کارکرد]]*حق_خواربار/30)</f>
        <v/>
      </c>
      <c r="O49" s="46" t="str">
        <f>IFERROR(ج_ح_اردیبهشت15[[#This Row],[حقوق پایه]]+ج_ح_اردیبهشت15[[#This Row],[اضافه کاری]]+ج_ح_اردیبهشت15[[#This Row],[حق مسکن]]+ج_ح_اردیبهشت15[[#This Row],[حق اولاد]]+ج_ح_اردیبهشت15[[#This Row],[حق و خواروبار]],"")</f>
        <v/>
      </c>
      <c r="P49"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49" s="46" t="str">
        <f>IFERROR(ج_ح_اردیبهشت15[[#This Row],[حقوق پایه]]+ج_ح_اردیبهشت15[[#This Row],[اضافه کاری]]-(2/7)*ج_ح_اردیبهشت15[[#This Row],[بیمه پرداختنی]],"")</f>
        <v/>
      </c>
      <c r="R49" s="45">
        <v>0</v>
      </c>
      <c r="S49" s="45">
        <v>0</v>
      </c>
      <c r="T49" s="46" t="str">
        <f>IFERROR(ج_ح_اردیبهشت15[[#This Row],[جمع ح و م م بیمه ]]*7%,"")</f>
        <v/>
      </c>
      <c r="U49"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49" s="46" t="str">
        <f>IFERROR(ج_ح_اردیبهشت15[[#This Row],[وام]]+ج_ح_اردیبهشت15[[#This Row],[مساعده]]+ج_ح_اردیبهشت15[[#This Row],[بیمه پرداختنی]]+ج_ح_اردیبهشت15[[#This Row],[مالیات پرداختنی]],"")</f>
        <v/>
      </c>
      <c r="W49" s="46" t="str">
        <f>IFERROR(ج_ح_اردیبهشت15[[#This Row],[جمع ح و م]]-ج_ح_اردیبهشت15[[#This Row],[جمع کسورات]],"")</f>
        <v/>
      </c>
    </row>
    <row r="50" spans="2:23" s="41" customFormat="1" ht="32.1" customHeight="1">
      <c r="B50" s="41">
        <f t="shared" si="0"/>
        <v>2</v>
      </c>
      <c r="C50" s="42" t="str">
        <f>IF(ج_ح_اردیبهشت15[[#This Row],[نام]]&lt;&gt;"",ROW()-44+1,"")</f>
        <v/>
      </c>
      <c r="D50" s="43"/>
      <c r="E50" s="43"/>
      <c r="F50" s="44"/>
      <c r="G50" s="45"/>
      <c r="H50" s="46" t="str">
        <f>IF(ج_ح_اردیبهشت15[[#This Row],[کارکرد]]*ج_ح_اردیبهشت15[[#This Row],[دستمزد روزانه ]]=0,"",ج_ح_اردیبهشت15[[#This Row],[کارکرد]]*ج_ح_اردیبهشت15[[#This Row],[دستمزد روزانه ]])</f>
        <v/>
      </c>
      <c r="I50" s="47"/>
      <c r="J50" s="48">
        <f>(ج_ح_اردیبهشت15[[#This Row],[دستمزد روزانه ]]/7.33)*1.4*ج_ح_اردیبهشت15[[#This Row],[مدت اضافه کاری ]]</f>
        <v>0</v>
      </c>
      <c r="K50" s="46" t="str">
        <f>IF(ج_ح_اردیبهشت15[[#This Row],[کارکرد]]="","",ج_ح_اردیبهشت15[[#This Row],[کارکرد]]*حق_مسکن/30)</f>
        <v/>
      </c>
      <c r="L50" s="49"/>
      <c r="M50" s="46" t="str">
        <f>IF(ج_ح_اردیبهشت15[[#This Row],[تعداد فرزندان]]="","",ج_ح_اردیبهشت15[[#This Row],[کارکرد]]/31*3*ج_ح_اردیبهشت15[[#This Row],[تعداد فرزندان]]*حداقل_حقوق_پایه_روزانه)</f>
        <v/>
      </c>
      <c r="N50" s="46" t="str">
        <f>IF(ج_ح_اردیبهشت15[[#This Row],[کارکرد]]="","",ج_ح_اردیبهشت15[[#This Row],[کارکرد]]*حق_خواربار/30)</f>
        <v/>
      </c>
      <c r="O50" s="46" t="str">
        <f>IFERROR(ج_ح_اردیبهشت15[[#This Row],[حقوق پایه]]+ج_ح_اردیبهشت15[[#This Row],[اضافه کاری]]+ج_ح_اردیبهشت15[[#This Row],[حق مسکن]]+ج_ح_اردیبهشت15[[#This Row],[حق اولاد]]+ج_ح_اردیبهشت15[[#This Row],[حق و خواروبار]],"")</f>
        <v/>
      </c>
      <c r="P50"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50" s="46" t="str">
        <f>IFERROR(ج_ح_اردیبهشت15[[#This Row],[حقوق پایه]]+ج_ح_اردیبهشت15[[#This Row],[اضافه کاری]]-(2/7)*ج_ح_اردیبهشت15[[#This Row],[بیمه پرداختنی]],"")</f>
        <v/>
      </c>
      <c r="R50" s="45">
        <v>0</v>
      </c>
      <c r="S50" s="45">
        <v>0</v>
      </c>
      <c r="T50" s="46" t="str">
        <f>IFERROR(ج_ح_اردیبهشت15[[#This Row],[جمع ح و م م بیمه ]]*7%,"")</f>
        <v/>
      </c>
      <c r="U50"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50" s="46" t="str">
        <f>IFERROR(ج_ح_اردیبهشت15[[#This Row],[وام]]+ج_ح_اردیبهشت15[[#This Row],[مساعده]]+ج_ح_اردیبهشت15[[#This Row],[بیمه پرداختنی]]+ج_ح_اردیبهشت15[[#This Row],[مالیات پرداختنی]],"")</f>
        <v/>
      </c>
      <c r="W50" s="46" t="str">
        <f>IFERROR(ج_ح_اردیبهشت15[[#This Row],[جمع ح و م]]-ج_ح_اردیبهشت15[[#This Row],[جمع کسورات]],"")</f>
        <v/>
      </c>
    </row>
    <row r="51" spans="2:23" s="41" customFormat="1" ht="32.1" customHeight="1">
      <c r="B51" s="41">
        <f t="shared" si="0"/>
        <v>2</v>
      </c>
      <c r="C51" s="42" t="str">
        <f>IF(ج_ح_اردیبهشت15[[#This Row],[نام]]&lt;&gt;"",ROW()-44+1,"")</f>
        <v/>
      </c>
      <c r="D51" s="43"/>
      <c r="E51" s="43"/>
      <c r="F51" s="44"/>
      <c r="G51" s="45"/>
      <c r="H51" s="46" t="str">
        <f>IF(ج_ح_اردیبهشت15[[#This Row],[کارکرد]]*ج_ح_اردیبهشت15[[#This Row],[دستمزد روزانه ]]=0,"",ج_ح_اردیبهشت15[[#This Row],[کارکرد]]*ج_ح_اردیبهشت15[[#This Row],[دستمزد روزانه ]])</f>
        <v/>
      </c>
      <c r="I51" s="47"/>
      <c r="J51" s="48">
        <f>(ج_ح_اردیبهشت15[[#This Row],[دستمزد روزانه ]]/7.33)*1.4*ج_ح_اردیبهشت15[[#This Row],[مدت اضافه کاری ]]</f>
        <v>0</v>
      </c>
      <c r="K51" s="46" t="str">
        <f>IF(ج_ح_اردیبهشت15[[#This Row],[کارکرد]]="","",ج_ح_اردیبهشت15[[#This Row],[کارکرد]]*حق_مسکن/30)</f>
        <v/>
      </c>
      <c r="L51" s="49"/>
      <c r="M51" s="46" t="str">
        <f>IF(ج_ح_اردیبهشت15[[#This Row],[تعداد فرزندان]]="","",ج_ح_اردیبهشت15[[#This Row],[کارکرد]]/31*3*ج_ح_اردیبهشت15[[#This Row],[تعداد فرزندان]]*حداقل_حقوق_پایه_روزانه)</f>
        <v/>
      </c>
      <c r="N51" s="46" t="str">
        <f>IF(ج_ح_اردیبهشت15[[#This Row],[کارکرد]]="","",ج_ح_اردیبهشت15[[#This Row],[کارکرد]]*حق_خواربار/30)</f>
        <v/>
      </c>
      <c r="O51" s="46" t="str">
        <f>IFERROR(ج_ح_اردیبهشت15[[#This Row],[حقوق پایه]]+ج_ح_اردیبهشت15[[#This Row],[اضافه کاری]]+ج_ح_اردیبهشت15[[#This Row],[حق مسکن]]+ج_ح_اردیبهشت15[[#This Row],[حق اولاد]]+ج_ح_اردیبهشت15[[#This Row],[حق و خواروبار]],"")</f>
        <v/>
      </c>
      <c r="P51"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51" s="46" t="str">
        <f>IFERROR(ج_ح_اردیبهشت15[[#This Row],[حقوق پایه]]+ج_ح_اردیبهشت15[[#This Row],[اضافه کاری]]-(2/7)*ج_ح_اردیبهشت15[[#This Row],[بیمه پرداختنی]],"")</f>
        <v/>
      </c>
      <c r="R51" s="45">
        <v>0</v>
      </c>
      <c r="S51" s="45">
        <v>0</v>
      </c>
      <c r="T51" s="46" t="str">
        <f>IFERROR(ج_ح_اردیبهشت15[[#This Row],[جمع ح و م م بیمه ]]*7%,"")</f>
        <v/>
      </c>
      <c r="U51"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51" s="46" t="str">
        <f>IFERROR(ج_ح_اردیبهشت15[[#This Row],[وام]]+ج_ح_اردیبهشت15[[#This Row],[مساعده]]+ج_ح_اردیبهشت15[[#This Row],[بیمه پرداختنی]]+ج_ح_اردیبهشت15[[#This Row],[مالیات پرداختنی]],"")</f>
        <v/>
      </c>
      <c r="W51" s="46" t="str">
        <f>IFERROR(ج_ح_اردیبهشت15[[#This Row],[جمع ح و م]]-ج_ح_اردیبهشت15[[#This Row],[جمع کسورات]],"")</f>
        <v/>
      </c>
    </row>
    <row r="52" spans="2:23" s="41" customFormat="1" ht="32.1" customHeight="1">
      <c r="B52" s="41">
        <f t="shared" si="0"/>
        <v>2</v>
      </c>
      <c r="C52" s="42" t="str">
        <f>IF(ج_ح_اردیبهشت15[[#This Row],[نام]]&lt;&gt;"",ROW()-44+1,"")</f>
        <v/>
      </c>
      <c r="D52" s="43"/>
      <c r="E52" s="43"/>
      <c r="F52" s="44"/>
      <c r="G52" s="45"/>
      <c r="H52" s="46" t="str">
        <f>IF(ج_ح_اردیبهشت15[[#This Row],[کارکرد]]*ج_ح_اردیبهشت15[[#This Row],[دستمزد روزانه ]]=0,"",ج_ح_اردیبهشت15[[#This Row],[کارکرد]]*ج_ح_اردیبهشت15[[#This Row],[دستمزد روزانه ]])</f>
        <v/>
      </c>
      <c r="I52" s="47"/>
      <c r="J52" s="48">
        <f>(ج_ح_اردیبهشت15[[#This Row],[دستمزد روزانه ]]/7.33)*1.4*ج_ح_اردیبهشت15[[#This Row],[مدت اضافه کاری ]]</f>
        <v>0</v>
      </c>
      <c r="K52" s="46" t="str">
        <f>IF(ج_ح_اردیبهشت15[[#This Row],[کارکرد]]="","",ج_ح_اردیبهشت15[[#This Row],[کارکرد]]*حق_مسکن/30)</f>
        <v/>
      </c>
      <c r="L52" s="49"/>
      <c r="M52" s="46" t="str">
        <f>IF(ج_ح_اردیبهشت15[[#This Row],[تعداد فرزندان]]="","",ج_ح_اردیبهشت15[[#This Row],[کارکرد]]/31*3*ج_ح_اردیبهشت15[[#This Row],[تعداد فرزندان]]*حداقل_حقوق_پایه_روزانه)</f>
        <v/>
      </c>
      <c r="N52" s="46" t="str">
        <f>IF(ج_ح_اردیبهشت15[[#This Row],[کارکرد]]="","",ج_ح_اردیبهشت15[[#This Row],[کارکرد]]*حق_خواربار/30)</f>
        <v/>
      </c>
      <c r="O52" s="46" t="str">
        <f>IFERROR(ج_ح_اردیبهشت15[[#This Row],[حقوق پایه]]+ج_ح_اردیبهشت15[[#This Row],[اضافه کاری]]+ج_ح_اردیبهشت15[[#This Row],[حق مسکن]]+ج_ح_اردیبهشت15[[#This Row],[حق اولاد]]+ج_ح_اردیبهشت15[[#This Row],[حق و خواروبار]],"")</f>
        <v/>
      </c>
      <c r="P52"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52" s="46" t="str">
        <f>IFERROR(ج_ح_اردیبهشت15[[#This Row],[حقوق پایه]]+ج_ح_اردیبهشت15[[#This Row],[اضافه کاری]]-(2/7)*ج_ح_اردیبهشت15[[#This Row],[بیمه پرداختنی]],"")</f>
        <v/>
      </c>
      <c r="R52" s="45">
        <v>0</v>
      </c>
      <c r="S52" s="45">
        <v>0</v>
      </c>
      <c r="T52" s="46" t="str">
        <f>IFERROR(ج_ح_اردیبهشت15[[#This Row],[جمع ح و م م بیمه ]]*7%,"")</f>
        <v/>
      </c>
      <c r="U52"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52" s="46" t="str">
        <f>IFERROR(ج_ح_اردیبهشت15[[#This Row],[وام]]+ج_ح_اردیبهشت15[[#This Row],[مساعده]]+ج_ح_اردیبهشت15[[#This Row],[بیمه پرداختنی]]+ج_ح_اردیبهشت15[[#This Row],[مالیات پرداختنی]],"")</f>
        <v/>
      </c>
      <c r="W52" s="46" t="str">
        <f>IFERROR(ج_ح_اردیبهشت15[[#This Row],[جمع ح و م]]-ج_ح_اردیبهشت15[[#This Row],[جمع کسورات]],"")</f>
        <v/>
      </c>
    </row>
    <row r="53" spans="2:23" s="41" customFormat="1" ht="32.1" customHeight="1">
      <c r="B53" s="41">
        <f t="shared" si="0"/>
        <v>2</v>
      </c>
      <c r="C53" s="42" t="str">
        <f>IF(ج_ح_اردیبهشت15[[#This Row],[نام]]&lt;&gt;"",ROW()-44+1,"")</f>
        <v/>
      </c>
      <c r="D53" s="43"/>
      <c r="E53" s="43"/>
      <c r="F53" s="44"/>
      <c r="G53" s="45"/>
      <c r="H53" s="46" t="str">
        <f>IF(ج_ح_اردیبهشت15[[#This Row],[کارکرد]]*ج_ح_اردیبهشت15[[#This Row],[دستمزد روزانه ]]=0,"",ج_ح_اردیبهشت15[[#This Row],[کارکرد]]*ج_ح_اردیبهشت15[[#This Row],[دستمزد روزانه ]])</f>
        <v/>
      </c>
      <c r="I53" s="47"/>
      <c r="J53" s="48">
        <f>(ج_ح_اردیبهشت15[[#This Row],[دستمزد روزانه ]]/7.33)*1.4*ج_ح_اردیبهشت15[[#This Row],[مدت اضافه کاری ]]</f>
        <v>0</v>
      </c>
      <c r="K53" s="46" t="str">
        <f>IF(ج_ح_اردیبهشت15[[#This Row],[کارکرد]]="","",ج_ح_اردیبهشت15[[#This Row],[کارکرد]]*حق_مسکن/30)</f>
        <v/>
      </c>
      <c r="L53" s="49"/>
      <c r="M53" s="46" t="str">
        <f>IF(ج_ح_اردیبهشت15[[#This Row],[تعداد فرزندان]]="","",ج_ح_اردیبهشت15[[#This Row],[کارکرد]]/31*3*ج_ح_اردیبهشت15[[#This Row],[تعداد فرزندان]]*حداقل_حقوق_پایه_روزانه)</f>
        <v/>
      </c>
      <c r="N53" s="46" t="str">
        <f>IF(ج_ح_اردیبهشت15[[#This Row],[کارکرد]]="","",ج_ح_اردیبهشت15[[#This Row],[کارکرد]]*حق_خواربار/30)</f>
        <v/>
      </c>
      <c r="O53" s="46" t="str">
        <f>IFERROR(ج_ح_اردیبهشت15[[#This Row],[حقوق پایه]]+ج_ح_اردیبهشت15[[#This Row],[اضافه کاری]]+ج_ح_اردیبهشت15[[#This Row],[حق مسکن]]+ج_ح_اردیبهشت15[[#This Row],[حق اولاد]]+ج_ح_اردیبهشت15[[#This Row],[حق و خواروبار]],"")</f>
        <v/>
      </c>
      <c r="P53"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53" s="46" t="str">
        <f>IFERROR(ج_ح_اردیبهشت15[[#This Row],[حقوق پایه]]+ج_ح_اردیبهشت15[[#This Row],[اضافه کاری]]-(2/7)*ج_ح_اردیبهشت15[[#This Row],[بیمه پرداختنی]],"")</f>
        <v/>
      </c>
      <c r="R53" s="45">
        <v>0</v>
      </c>
      <c r="S53" s="45">
        <v>0</v>
      </c>
      <c r="T53" s="46" t="str">
        <f>IFERROR(ج_ح_اردیبهشت15[[#This Row],[جمع ح و م م بیمه ]]*7%,"")</f>
        <v/>
      </c>
      <c r="U53"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53" s="46" t="str">
        <f>IFERROR(ج_ح_اردیبهشت15[[#This Row],[وام]]+ج_ح_اردیبهشت15[[#This Row],[مساعده]]+ج_ح_اردیبهشت15[[#This Row],[بیمه پرداختنی]]+ج_ح_اردیبهشت15[[#This Row],[مالیات پرداختنی]],"")</f>
        <v/>
      </c>
      <c r="W53" s="46" t="str">
        <f>IFERROR(ج_ح_اردیبهشت15[[#This Row],[جمع ح و م]]-ج_ح_اردیبهشت15[[#This Row],[جمع کسورات]],"")</f>
        <v/>
      </c>
    </row>
    <row r="54" spans="2:23" s="41" customFormat="1" ht="32.1" customHeight="1">
      <c r="B54" s="41">
        <f t="shared" si="0"/>
        <v>2</v>
      </c>
      <c r="C54" s="42" t="str">
        <f>IF(ج_ح_اردیبهشت15[[#This Row],[نام]]&lt;&gt;"",ROW()-44+1,"")</f>
        <v/>
      </c>
      <c r="D54" s="43"/>
      <c r="E54" s="43"/>
      <c r="F54" s="44"/>
      <c r="G54" s="45"/>
      <c r="H54" s="46" t="str">
        <f>IF(ج_ح_اردیبهشت15[[#This Row],[کارکرد]]*ج_ح_اردیبهشت15[[#This Row],[دستمزد روزانه ]]=0,"",ج_ح_اردیبهشت15[[#This Row],[کارکرد]]*ج_ح_اردیبهشت15[[#This Row],[دستمزد روزانه ]])</f>
        <v/>
      </c>
      <c r="I54" s="47"/>
      <c r="J54" s="48">
        <f>(ج_ح_اردیبهشت15[[#This Row],[دستمزد روزانه ]]/7.33)*1.4*ج_ح_اردیبهشت15[[#This Row],[مدت اضافه کاری ]]</f>
        <v>0</v>
      </c>
      <c r="K54" s="46" t="str">
        <f>IF(ج_ح_اردیبهشت15[[#This Row],[کارکرد]]="","",ج_ح_اردیبهشت15[[#This Row],[کارکرد]]*حق_مسکن/30)</f>
        <v/>
      </c>
      <c r="L54" s="49"/>
      <c r="M54" s="46" t="str">
        <f>IF(ج_ح_اردیبهشت15[[#This Row],[تعداد فرزندان]]="","",ج_ح_اردیبهشت15[[#This Row],[کارکرد]]/31*3*ج_ح_اردیبهشت15[[#This Row],[تعداد فرزندان]]*حداقل_حقوق_پایه_روزانه)</f>
        <v/>
      </c>
      <c r="N54" s="46" t="str">
        <f>IF(ج_ح_اردیبهشت15[[#This Row],[کارکرد]]="","",ج_ح_اردیبهشت15[[#This Row],[کارکرد]]*حق_خواربار/30)</f>
        <v/>
      </c>
      <c r="O54" s="46" t="str">
        <f>IFERROR(ج_ح_اردیبهشت15[[#This Row],[حقوق پایه]]+ج_ح_اردیبهشت15[[#This Row],[اضافه کاری]]+ج_ح_اردیبهشت15[[#This Row],[حق مسکن]]+ج_ح_اردیبهشت15[[#This Row],[حق اولاد]]+ج_ح_اردیبهشت15[[#This Row],[حق و خواروبار]],"")</f>
        <v/>
      </c>
      <c r="P54"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54" s="46" t="str">
        <f>IFERROR(ج_ح_اردیبهشت15[[#This Row],[حقوق پایه]]+ج_ح_اردیبهشت15[[#This Row],[اضافه کاری]]-(2/7)*ج_ح_اردیبهشت15[[#This Row],[بیمه پرداختنی]],"")</f>
        <v/>
      </c>
      <c r="R54" s="45">
        <v>0</v>
      </c>
      <c r="S54" s="45">
        <v>0</v>
      </c>
      <c r="T54" s="46" t="str">
        <f>IFERROR(ج_ح_اردیبهشت15[[#This Row],[جمع ح و م م بیمه ]]*7%,"")</f>
        <v/>
      </c>
      <c r="U54"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54" s="46" t="str">
        <f>IFERROR(ج_ح_اردیبهشت15[[#This Row],[وام]]+ج_ح_اردیبهشت15[[#This Row],[مساعده]]+ج_ح_اردیبهشت15[[#This Row],[بیمه پرداختنی]]+ج_ح_اردیبهشت15[[#This Row],[مالیات پرداختنی]],"")</f>
        <v/>
      </c>
      <c r="W54" s="46" t="str">
        <f>IFERROR(ج_ح_اردیبهشت15[[#This Row],[جمع ح و م]]-ج_ح_اردیبهشت15[[#This Row],[جمع کسورات]],"")</f>
        <v/>
      </c>
    </row>
    <row r="55" spans="2:23" s="41" customFormat="1" ht="32.1" customHeight="1">
      <c r="B55" s="41">
        <f t="shared" si="0"/>
        <v>2</v>
      </c>
      <c r="C55" s="42" t="str">
        <f>IF(ج_ح_اردیبهشت15[[#This Row],[نام]]&lt;&gt;"",ROW()-44+1,"")</f>
        <v/>
      </c>
      <c r="D55" s="43"/>
      <c r="E55" s="43"/>
      <c r="F55" s="44"/>
      <c r="G55" s="45"/>
      <c r="H55" s="46" t="str">
        <f>IF(ج_ح_اردیبهشت15[[#This Row],[کارکرد]]*ج_ح_اردیبهشت15[[#This Row],[دستمزد روزانه ]]=0,"",ج_ح_اردیبهشت15[[#This Row],[کارکرد]]*ج_ح_اردیبهشت15[[#This Row],[دستمزد روزانه ]])</f>
        <v/>
      </c>
      <c r="I55" s="47"/>
      <c r="J55" s="48">
        <f>(ج_ح_اردیبهشت15[[#This Row],[دستمزد روزانه ]]/7.33)*1.4*ج_ح_اردیبهشت15[[#This Row],[مدت اضافه کاری ]]</f>
        <v>0</v>
      </c>
      <c r="K55" s="46" t="str">
        <f>IF(ج_ح_اردیبهشت15[[#This Row],[کارکرد]]="","",ج_ح_اردیبهشت15[[#This Row],[کارکرد]]*حق_مسکن/30)</f>
        <v/>
      </c>
      <c r="L55" s="49"/>
      <c r="M55" s="46" t="str">
        <f>IF(ج_ح_اردیبهشت15[[#This Row],[تعداد فرزندان]]="","",ج_ح_اردیبهشت15[[#This Row],[کارکرد]]/31*3*ج_ح_اردیبهشت15[[#This Row],[تعداد فرزندان]]*حداقل_حقوق_پایه_روزانه)</f>
        <v/>
      </c>
      <c r="N55" s="46" t="str">
        <f>IF(ج_ح_اردیبهشت15[[#This Row],[کارکرد]]="","",ج_ح_اردیبهشت15[[#This Row],[کارکرد]]*حق_خواربار/30)</f>
        <v/>
      </c>
      <c r="O55" s="46" t="str">
        <f>IFERROR(ج_ح_اردیبهشت15[[#This Row],[حقوق پایه]]+ج_ح_اردیبهشت15[[#This Row],[اضافه کاری]]+ج_ح_اردیبهشت15[[#This Row],[حق مسکن]]+ج_ح_اردیبهشت15[[#This Row],[حق اولاد]]+ج_ح_اردیبهشت15[[#This Row],[حق و خواروبار]],"")</f>
        <v/>
      </c>
      <c r="P55"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55" s="46" t="str">
        <f>IFERROR(ج_ح_اردیبهشت15[[#This Row],[حقوق پایه]]+ج_ح_اردیبهشت15[[#This Row],[اضافه کاری]]-(2/7)*ج_ح_اردیبهشت15[[#This Row],[بیمه پرداختنی]],"")</f>
        <v/>
      </c>
      <c r="R55" s="45">
        <v>0</v>
      </c>
      <c r="S55" s="45">
        <v>0</v>
      </c>
      <c r="T55" s="46" t="str">
        <f>IFERROR(ج_ح_اردیبهشت15[[#This Row],[جمع ح و م م بیمه ]]*7%,"")</f>
        <v/>
      </c>
      <c r="U55"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55" s="46" t="str">
        <f>IFERROR(ج_ح_اردیبهشت15[[#This Row],[وام]]+ج_ح_اردیبهشت15[[#This Row],[مساعده]]+ج_ح_اردیبهشت15[[#This Row],[بیمه پرداختنی]]+ج_ح_اردیبهشت15[[#This Row],[مالیات پرداختنی]],"")</f>
        <v/>
      </c>
      <c r="W55" s="46" t="str">
        <f>IFERROR(ج_ح_اردیبهشت15[[#This Row],[جمع ح و م]]-ج_ح_اردیبهشت15[[#This Row],[جمع کسورات]],"")</f>
        <v/>
      </c>
    </row>
    <row r="56" spans="2:23" s="41" customFormat="1" ht="32.1" customHeight="1">
      <c r="B56" s="41">
        <f t="shared" si="0"/>
        <v>2</v>
      </c>
      <c r="C56" s="42" t="str">
        <f>IF(ج_ح_اردیبهشت15[[#This Row],[نام]]&lt;&gt;"",ROW()-44+1,"")</f>
        <v/>
      </c>
      <c r="D56" s="43"/>
      <c r="E56" s="43"/>
      <c r="F56" s="44"/>
      <c r="G56" s="45"/>
      <c r="H56" s="46" t="str">
        <f>IF(ج_ح_اردیبهشت15[[#This Row],[کارکرد]]*ج_ح_اردیبهشت15[[#This Row],[دستمزد روزانه ]]=0,"",ج_ح_اردیبهشت15[[#This Row],[کارکرد]]*ج_ح_اردیبهشت15[[#This Row],[دستمزد روزانه ]])</f>
        <v/>
      </c>
      <c r="I56" s="47"/>
      <c r="J56" s="48">
        <f>(ج_ح_اردیبهشت15[[#This Row],[دستمزد روزانه ]]/7.33)*1.4*ج_ح_اردیبهشت15[[#This Row],[مدت اضافه کاری ]]</f>
        <v>0</v>
      </c>
      <c r="K56" s="46" t="str">
        <f>IF(ج_ح_اردیبهشت15[[#This Row],[کارکرد]]="","",ج_ح_اردیبهشت15[[#This Row],[کارکرد]]*حق_مسکن/30)</f>
        <v/>
      </c>
      <c r="L56" s="49"/>
      <c r="M56" s="46" t="str">
        <f>IF(ج_ح_اردیبهشت15[[#This Row],[تعداد فرزندان]]="","",ج_ح_اردیبهشت15[[#This Row],[کارکرد]]/31*3*ج_ح_اردیبهشت15[[#This Row],[تعداد فرزندان]]*حداقل_حقوق_پایه_روزانه)</f>
        <v/>
      </c>
      <c r="N56" s="46" t="str">
        <f>IF(ج_ح_اردیبهشت15[[#This Row],[کارکرد]]="","",ج_ح_اردیبهشت15[[#This Row],[کارکرد]]*حق_خواربار/30)</f>
        <v/>
      </c>
      <c r="O56" s="46" t="str">
        <f>IFERROR(ج_ح_اردیبهشت15[[#This Row],[حقوق پایه]]+ج_ح_اردیبهشت15[[#This Row],[اضافه کاری]]+ج_ح_اردیبهشت15[[#This Row],[حق مسکن]]+ج_ح_اردیبهشت15[[#This Row],[حق اولاد]]+ج_ح_اردیبهشت15[[#This Row],[حق و خواروبار]],"")</f>
        <v/>
      </c>
      <c r="P56"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56" s="46" t="str">
        <f>IFERROR(ج_ح_اردیبهشت15[[#This Row],[حقوق پایه]]+ج_ح_اردیبهشت15[[#This Row],[اضافه کاری]]-(2/7)*ج_ح_اردیبهشت15[[#This Row],[بیمه پرداختنی]],"")</f>
        <v/>
      </c>
      <c r="R56" s="45">
        <v>0</v>
      </c>
      <c r="S56" s="45">
        <v>0</v>
      </c>
      <c r="T56" s="46" t="str">
        <f>IFERROR(ج_ح_اردیبهشت15[[#This Row],[جمع ح و م م بیمه ]]*7%,"")</f>
        <v/>
      </c>
      <c r="U56"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56" s="46" t="str">
        <f>IFERROR(ج_ح_اردیبهشت15[[#This Row],[وام]]+ج_ح_اردیبهشت15[[#This Row],[مساعده]]+ج_ح_اردیبهشت15[[#This Row],[بیمه پرداختنی]]+ج_ح_اردیبهشت15[[#This Row],[مالیات پرداختنی]],"")</f>
        <v/>
      </c>
      <c r="W56" s="46" t="str">
        <f>IFERROR(ج_ح_اردیبهشت15[[#This Row],[جمع ح و م]]-ج_ح_اردیبهشت15[[#This Row],[جمع کسورات]],"")</f>
        <v/>
      </c>
    </row>
    <row r="57" spans="2:23" s="41" customFormat="1" ht="32.1" customHeight="1">
      <c r="B57" s="41">
        <f t="shared" si="0"/>
        <v>2</v>
      </c>
      <c r="C57" s="42" t="str">
        <f>IF(ج_ح_اردیبهشت15[[#This Row],[نام]]&lt;&gt;"",ROW()-44+1,"")</f>
        <v/>
      </c>
      <c r="D57" s="43"/>
      <c r="E57" s="43"/>
      <c r="F57" s="44"/>
      <c r="G57" s="45"/>
      <c r="H57" s="46" t="str">
        <f>IF(ج_ح_اردیبهشت15[[#This Row],[کارکرد]]*ج_ح_اردیبهشت15[[#This Row],[دستمزد روزانه ]]=0,"",ج_ح_اردیبهشت15[[#This Row],[کارکرد]]*ج_ح_اردیبهشت15[[#This Row],[دستمزد روزانه ]])</f>
        <v/>
      </c>
      <c r="I57" s="47"/>
      <c r="J57" s="48">
        <f>(ج_ح_اردیبهشت15[[#This Row],[دستمزد روزانه ]]/7.33)*1.4*ج_ح_اردیبهشت15[[#This Row],[مدت اضافه کاری ]]</f>
        <v>0</v>
      </c>
      <c r="K57" s="46" t="str">
        <f>IF(ج_ح_اردیبهشت15[[#This Row],[کارکرد]]="","",ج_ح_اردیبهشت15[[#This Row],[کارکرد]]*حق_مسکن/30)</f>
        <v/>
      </c>
      <c r="L57" s="49"/>
      <c r="M57" s="46" t="str">
        <f>IF(ج_ح_اردیبهشت15[[#This Row],[تعداد فرزندان]]="","",ج_ح_اردیبهشت15[[#This Row],[کارکرد]]/31*3*ج_ح_اردیبهشت15[[#This Row],[تعداد فرزندان]]*حداقل_حقوق_پایه_روزانه)</f>
        <v/>
      </c>
      <c r="N57" s="46" t="str">
        <f>IF(ج_ح_اردیبهشت15[[#This Row],[کارکرد]]="","",ج_ح_اردیبهشت15[[#This Row],[کارکرد]]*حق_خواربار/30)</f>
        <v/>
      </c>
      <c r="O57" s="46" t="str">
        <f>IFERROR(ج_ح_اردیبهشت15[[#This Row],[حقوق پایه]]+ج_ح_اردیبهشت15[[#This Row],[اضافه کاری]]+ج_ح_اردیبهشت15[[#This Row],[حق مسکن]]+ج_ح_اردیبهشت15[[#This Row],[حق اولاد]]+ج_ح_اردیبهشت15[[#This Row],[حق و خواروبار]],"")</f>
        <v/>
      </c>
      <c r="P57"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57" s="46" t="str">
        <f>IFERROR(ج_ح_اردیبهشت15[[#This Row],[حقوق پایه]]+ج_ح_اردیبهشت15[[#This Row],[اضافه کاری]]-(2/7)*ج_ح_اردیبهشت15[[#This Row],[بیمه پرداختنی]],"")</f>
        <v/>
      </c>
      <c r="R57" s="45">
        <v>0</v>
      </c>
      <c r="S57" s="45">
        <v>0</v>
      </c>
      <c r="T57" s="46" t="str">
        <f>IFERROR(ج_ح_اردیبهشت15[[#This Row],[جمع ح و م م بیمه ]]*7%,"")</f>
        <v/>
      </c>
      <c r="U57"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57" s="46" t="str">
        <f>IFERROR(ج_ح_اردیبهشت15[[#This Row],[وام]]+ج_ح_اردیبهشت15[[#This Row],[مساعده]]+ج_ح_اردیبهشت15[[#This Row],[بیمه پرداختنی]]+ج_ح_اردیبهشت15[[#This Row],[مالیات پرداختنی]],"")</f>
        <v/>
      </c>
      <c r="W57" s="46" t="str">
        <f>IFERROR(ج_ح_اردیبهشت15[[#This Row],[جمع ح و م]]-ج_ح_اردیبهشت15[[#This Row],[جمع کسورات]],"")</f>
        <v/>
      </c>
    </row>
    <row r="58" spans="2:23" s="41" customFormat="1" ht="32.1" customHeight="1">
      <c r="B58" s="41">
        <f t="shared" si="0"/>
        <v>2</v>
      </c>
      <c r="C58" s="42" t="str">
        <f>IF(ج_ح_اردیبهشت15[[#This Row],[نام]]&lt;&gt;"",ROW()-44+1,"")</f>
        <v/>
      </c>
      <c r="D58" s="43"/>
      <c r="E58" s="43"/>
      <c r="F58" s="44"/>
      <c r="G58" s="45"/>
      <c r="H58" s="46" t="str">
        <f>IF(ج_ح_اردیبهشت15[[#This Row],[کارکرد]]*ج_ح_اردیبهشت15[[#This Row],[دستمزد روزانه ]]=0,"",ج_ح_اردیبهشت15[[#This Row],[کارکرد]]*ج_ح_اردیبهشت15[[#This Row],[دستمزد روزانه ]])</f>
        <v/>
      </c>
      <c r="I58" s="47"/>
      <c r="J58" s="48">
        <f>(ج_ح_اردیبهشت15[[#This Row],[دستمزد روزانه ]]/7.33)*1.4*ج_ح_اردیبهشت15[[#This Row],[مدت اضافه کاری ]]</f>
        <v>0</v>
      </c>
      <c r="K58" s="46" t="str">
        <f>IF(ج_ح_اردیبهشت15[[#This Row],[کارکرد]]="","",ج_ح_اردیبهشت15[[#This Row],[کارکرد]]*حق_مسکن/30)</f>
        <v/>
      </c>
      <c r="L58" s="49"/>
      <c r="M58" s="46" t="str">
        <f>IF(ج_ح_اردیبهشت15[[#This Row],[تعداد فرزندان]]="","",ج_ح_اردیبهشت15[[#This Row],[کارکرد]]/31*3*ج_ح_اردیبهشت15[[#This Row],[تعداد فرزندان]]*حداقل_حقوق_پایه_روزانه)</f>
        <v/>
      </c>
      <c r="N58" s="46" t="str">
        <f>IF(ج_ح_اردیبهشت15[[#This Row],[کارکرد]]="","",ج_ح_اردیبهشت15[[#This Row],[کارکرد]]*حق_خواربار/30)</f>
        <v/>
      </c>
      <c r="O58" s="46" t="str">
        <f>IFERROR(ج_ح_اردیبهشت15[[#This Row],[حقوق پایه]]+ج_ح_اردیبهشت15[[#This Row],[اضافه کاری]]+ج_ح_اردیبهشت15[[#This Row],[حق مسکن]]+ج_ح_اردیبهشت15[[#This Row],[حق اولاد]]+ج_ح_اردیبهشت15[[#This Row],[حق و خواروبار]],"")</f>
        <v/>
      </c>
      <c r="P58"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58" s="46" t="str">
        <f>IFERROR(ج_ح_اردیبهشت15[[#This Row],[حقوق پایه]]+ج_ح_اردیبهشت15[[#This Row],[اضافه کاری]]-(2/7)*ج_ح_اردیبهشت15[[#This Row],[بیمه پرداختنی]],"")</f>
        <v/>
      </c>
      <c r="R58" s="45">
        <v>0</v>
      </c>
      <c r="S58" s="45">
        <v>0</v>
      </c>
      <c r="T58" s="46" t="str">
        <f>IFERROR(ج_ح_اردیبهشت15[[#This Row],[جمع ح و م م بیمه ]]*7%,"")</f>
        <v/>
      </c>
      <c r="U58"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58" s="46" t="str">
        <f>IFERROR(ج_ح_اردیبهشت15[[#This Row],[وام]]+ج_ح_اردیبهشت15[[#This Row],[مساعده]]+ج_ح_اردیبهشت15[[#This Row],[بیمه پرداختنی]]+ج_ح_اردیبهشت15[[#This Row],[مالیات پرداختنی]],"")</f>
        <v/>
      </c>
      <c r="W58" s="46" t="str">
        <f>IFERROR(ج_ح_اردیبهشت15[[#This Row],[جمع ح و م]]-ج_ح_اردیبهشت15[[#This Row],[جمع کسورات]],"")</f>
        <v/>
      </c>
    </row>
    <row r="59" spans="2:23" s="41" customFormat="1" ht="32.1" customHeight="1">
      <c r="B59" s="41">
        <f t="shared" si="0"/>
        <v>2</v>
      </c>
      <c r="C59" s="42" t="str">
        <f>IF(ج_ح_اردیبهشت15[[#This Row],[نام]]&lt;&gt;"",ROW()-44+1,"")</f>
        <v/>
      </c>
      <c r="D59" s="43"/>
      <c r="E59" s="43"/>
      <c r="F59" s="44"/>
      <c r="G59" s="45"/>
      <c r="H59" s="46" t="str">
        <f>IF(ج_ح_اردیبهشت15[[#This Row],[کارکرد]]*ج_ح_اردیبهشت15[[#This Row],[دستمزد روزانه ]]=0,"",ج_ح_اردیبهشت15[[#This Row],[کارکرد]]*ج_ح_اردیبهشت15[[#This Row],[دستمزد روزانه ]])</f>
        <v/>
      </c>
      <c r="I59" s="47"/>
      <c r="J59" s="48">
        <f>(ج_ح_اردیبهشت15[[#This Row],[دستمزد روزانه ]]/7.33)*1.4*ج_ح_اردیبهشت15[[#This Row],[مدت اضافه کاری ]]</f>
        <v>0</v>
      </c>
      <c r="K59" s="46" t="str">
        <f>IF(ج_ح_اردیبهشت15[[#This Row],[کارکرد]]="","",ج_ح_اردیبهشت15[[#This Row],[کارکرد]]*حق_مسکن/30)</f>
        <v/>
      </c>
      <c r="L59" s="49"/>
      <c r="M59" s="46" t="str">
        <f>IF(ج_ح_اردیبهشت15[[#This Row],[تعداد فرزندان]]="","",ج_ح_اردیبهشت15[[#This Row],[کارکرد]]/31*3*ج_ح_اردیبهشت15[[#This Row],[تعداد فرزندان]]*حداقل_حقوق_پایه_روزانه)</f>
        <v/>
      </c>
      <c r="N59" s="46" t="str">
        <f>IF(ج_ح_اردیبهشت15[[#This Row],[کارکرد]]="","",ج_ح_اردیبهشت15[[#This Row],[کارکرد]]*حق_خواربار/30)</f>
        <v/>
      </c>
      <c r="O59" s="46" t="str">
        <f>IFERROR(ج_ح_اردیبهشت15[[#This Row],[حقوق پایه]]+ج_ح_اردیبهشت15[[#This Row],[اضافه کاری]]+ج_ح_اردیبهشت15[[#This Row],[حق مسکن]]+ج_ح_اردیبهشت15[[#This Row],[حق اولاد]]+ج_ح_اردیبهشت15[[#This Row],[حق و خواروبار]],"")</f>
        <v/>
      </c>
      <c r="P59"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59" s="46" t="str">
        <f>IFERROR(ج_ح_اردیبهشت15[[#This Row],[حقوق پایه]]+ج_ح_اردیبهشت15[[#This Row],[اضافه کاری]]-(2/7)*ج_ح_اردیبهشت15[[#This Row],[بیمه پرداختنی]],"")</f>
        <v/>
      </c>
      <c r="R59" s="45">
        <v>0</v>
      </c>
      <c r="S59" s="45">
        <v>0</v>
      </c>
      <c r="T59" s="46" t="str">
        <f>IFERROR(ج_ح_اردیبهشت15[[#This Row],[جمع ح و م م بیمه ]]*7%,"")</f>
        <v/>
      </c>
      <c r="U59"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59" s="46" t="str">
        <f>IFERROR(ج_ح_اردیبهشت15[[#This Row],[وام]]+ج_ح_اردیبهشت15[[#This Row],[مساعده]]+ج_ح_اردیبهشت15[[#This Row],[بیمه پرداختنی]]+ج_ح_اردیبهشت15[[#This Row],[مالیات پرداختنی]],"")</f>
        <v/>
      </c>
      <c r="W59" s="46" t="str">
        <f>IFERROR(ج_ح_اردیبهشت15[[#This Row],[جمع ح و م]]-ج_ح_اردیبهشت15[[#This Row],[جمع کسورات]],"")</f>
        <v/>
      </c>
    </row>
    <row r="60" spans="2:23" s="41" customFormat="1" ht="32.1" customHeight="1">
      <c r="B60" s="41">
        <f t="shared" si="0"/>
        <v>2</v>
      </c>
      <c r="C60" s="42" t="str">
        <f>IF(ج_ح_اردیبهشت15[[#This Row],[نام]]&lt;&gt;"",ROW()-44+1,"")</f>
        <v/>
      </c>
      <c r="D60" s="43"/>
      <c r="E60" s="43"/>
      <c r="F60" s="44"/>
      <c r="G60" s="45"/>
      <c r="H60" s="46" t="str">
        <f>IF(ج_ح_اردیبهشت15[[#This Row],[کارکرد]]*ج_ح_اردیبهشت15[[#This Row],[دستمزد روزانه ]]=0,"",ج_ح_اردیبهشت15[[#This Row],[کارکرد]]*ج_ح_اردیبهشت15[[#This Row],[دستمزد روزانه ]])</f>
        <v/>
      </c>
      <c r="I60" s="47"/>
      <c r="J60" s="48">
        <f>(ج_ح_اردیبهشت15[[#This Row],[دستمزد روزانه ]]/7.33)*1.4*ج_ح_اردیبهشت15[[#This Row],[مدت اضافه کاری ]]</f>
        <v>0</v>
      </c>
      <c r="K60" s="46" t="str">
        <f>IF(ج_ح_اردیبهشت15[[#This Row],[کارکرد]]="","",ج_ح_اردیبهشت15[[#This Row],[کارکرد]]*حق_مسکن/30)</f>
        <v/>
      </c>
      <c r="L60" s="49"/>
      <c r="M60" s="46" t="str">
        <f>IF(ج_ح_اردیبهشت15[[#This Row],[تعداد فرزندان]]="","",ج_ح_اردیبهشت15[[#This Row],[کارکرد]]/31*3*ج_ح_اردیبهشت15[[#This Row],[تعداد فرزندان]]*حداقل_حقوق_پایه_روزانه)</f>
        <v/>
      </c>
      <c r="N60" s="46" t="str">
        <f>IF(ج_ح_اردیبهشت15[[#This Row],[کارکرد]]="","",ج_ح_اردیبهشت15[[#This Row],[کارکرد]]*حق_خواربار/30)</f>
        <v/>
      </c>
      <c r="O60" s="46" t="str">
        <f>IFERROR(ج_ح_اردیبهشت15[[#This Row],[حقوق پایه]]+ج_ح_اردیبهشت15[[#This Row],[اضافه کاری]]+ج_ح_اردیبهشت15[[#This Row],[حق مسکن]]+ج_ح_اردیبهشت15[[#This Row],[حق اولاد]]+ج_ح_اردیبهشت15[[#This Row],[حق و خواروبار]],"")</f>
        <v/>
      </c>
      <c r="P60"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60" s="46" t="str">
        <f>IFERROR(ج_ح_اردیبهشت15[[#This Row],[حقوق پایه]]+ج_ح_اردیبهشت15[[#This Row],[اضافه کاری]]-(2/7)*ج_ح_اردیبهشت15[[#This Row],[بیمه پرداختنی]],"")</f>
        <v/>
      </c>
      <c r="R60" s="45">
        <v>0</v>
      </c>
      <c r="S60" s="45">
        <v>0</v>
      </c>
      <c r="T60" s="46" t="str">
        <f>IFERROR(ج_ح_اردیبهشت15[[#This Row],[جمع ح و م م بیمه ]]*7%,"")</f>
        <v/>
      </c>
      <c r="U60"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60" s="46" t="str">
        <f>IFERROR(ج_ح_اردیبهشت15[[#This Row],[وام]]+ج_ح_اردیبهشت15[[#This Row],[مساعده]]+ج_ح_اردیبهشت15[[#This Row],[بیمه پرداختنی]]+ج_ح_اردیبهشت15[[#This Row],[مالیات پرداختنی]],"")</f>
        <v/>
      </c>
      <c r="W60" s="46" t="str">
        <f>IFERROR(ج_ح_اردیبهشت15[[#This Row],[جمع ح و م]]-ج_ح_اردیبهشت15[[#This Row],[جمع کسورات]],"")</f>
        <v/>
      </c>
    </row>
    <row r="61" spans="2:23" s="41" customFormat="1" ht="32.1" customHeight="1">
      <c r="B61" s="41">
        <f t="shared" si="0"/>
        <v>2</v>
      </c>
      <c r="C61" s="42" t="str">
        <f>IF(ج_ح_اردیبهشت15[[#This Row],[نام]]&lt;&gt;"",ROW()-44+1,"")</f>
        <v/>
      </c>
      <c r="D61" s="43"/>
      <c r="E61" s="43"/>
      <c r="F61" s="44"/>
      <c r="G61" s="45"/>
      <c r="H61" s="46" t="str">
        <f>IF(ج_ح_اردیبهشت15[[#This Row],[کارکرد]]*ج_ح_اردیبهشت15[[#This Row],[دستمزد روزانه ]]=0,"",ج_ح_اردیبهشت15[[#This Row],[کارکرد]]*ج_ح_اردیبهشت15[[#This Row],[دستمزد روزانه ]])</f>
        <v/>
      </c>
      <c r="I61" s="47"/>
      <c r="J61" s="48">
        <f>(ج_ح_اردیبهشت15[[#This Row],[دستمزد روزانه ]]/7.33)*1.4*ج_ح_اردیبهشت15[[#This Row],[مدت اضافه کاری ]]</f>
        <v>0</v>
      </c>
      <c r="K61" s="46" t="str">
        <f>IF(ج_ح_اردیبهشت15[[#This Row],[کارکرد]]="","",ج_ح_اردیبهشت15[[#This Row],[کارکرد]]*حق_مسکن/30)</f>
        <v/>
      </c>
      <c r="L61" s="49"/>
      <c r="M61" s="46" t="str">
        <f>IF(ج_ح_اردیبهشت15[[#This Row],[تعداد فرزندان]]="","",ج_ح_اردیبهشت15[[#This Row],[کارکرد]]/31*3*ج_ح_اردیبهشت15[[#This Row],[تعداد فرزندان]]*حداقل_حقوق_پایه_روزانه)</f>
        <v/>
      </c>
      <c r="N61" s="46" t="str">
        <f>IF(ج_ح_اردیبهشت15[[#This Row],[کارکرد]]="","",ج_ح_اردیبهشت15[[#This Row],[کارکرد]]*حق_خواربار/30)</f>
        <v/>
      </c>
      <c r="O61" s="46" t="str">
        <f>IFERROR(ج_ح_اردیبهشت15[[#This Row],[حقوق پایه]]+ج_ح_اردیبهشت15[[#This Row],[اضافه کاری]]+ج_ح_اردیبهشت15[[#This Row],[حق مسکن]]+ج_ح_اردیبهشت15[[#This Row],[حق اولاد]]+ج_ح_اردیبهشت15[[#This Row],[حق و خواروبار]],"")</f>
        <v/>
      </c>
      <c r="P61"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61" s="46" t="str">
        <f>IFERROR(ج_ح_اردیبهشت15[[#This Row],[حقوق پایه]]+ج_ح_اردیبهشت15[[#This Row],[اضافه کاری]]-(2/7)*ج_ح_اردیبهشت15[[#This Row],[بیمه پرداختنی]],"")</f>
        <v/>
      </c>
      <c r="R61" s="45">
        <v>0</v>
      </c>
      <c r="S61" s="45">
        <v>0</v>
      </c>
      <c r="T61" s="46" t="str">
        <f>IFERROR(ج_ح_اردیبهشت15[[#This Row],[جمع ح و م م بیمه ]]*7%,"")</f>
        <v/>
      </c>
      <c r="U61"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61" s="46" t="str">
        <f>IFERROR(ج_ح_اردیبهشت15[[#This Row],[وام]]+ج_ح_اردیبهشت15[[#This Row],[مساعده]]+ج_ح_اردیبهشت15[[#This Row],[بیمه پرداختنی]]+ج_ح_اردیبهشت15[[#This Row],[مالیات پرداختنی]],"")</f>
        <v/>
      </c>
      <c r="W61" s="46" t="str">
        <f>IFERROR(ج_ح_اردیبهشت15[[#This Row],[جمع ح و م]]-ج_ح_اردیبهشت15[[#This Row],[جمع کسورات]],"")</f>
        <v/>
      </c>
    </row>
    <row r="62" spans="2:23" s="41" customFormat="1" ht="32.1" customHeight="1">
      <c r="B62" s="41">
        <f t="shared" si="0"/>
        <v>2</v>
      </c>
      <c r="C62" s="42" t="str">
        <f>IF(ج_ح_اردیبهشت15[[#This Row],[نام]]&lt;&gt;"",ROW()-44+1,"")</f>
        <v/>
      </c>
      <c r="D62" s="43"/>
      <c r="E62" s="43"/>
      <c r="F62" s="44"/>
      <c r="G62" s="45"/>
      <c r="H62" s="46" t="str">
        <f>IF(ج_ح_اردیبهشت15[[#This Row],[کارکرد]]*ج_ح_اردیبهشت15[[#This Row],[دستمزد روزانه ]]=0,"",ج_ح_اردیبهشت15[[#This Row],[کارکرد]]*ج_ح_اردیبهشت15[[#This Row],[دستمزد روزانه ]])</f>
        <v/>
      </c>
      <c r="I62" s="47"/>
      <c r="J62" s="48">
        <f>(ج_ح_اردیبهشت15[[#This Row],[دستمزد روزانه ]]/7.33)*1.4*ج_ح_اردیبهشت15[[#This Row],[مدت اضافه کاری ]]</f>
        <v>0</v>
      </c>
      <c r="K62" s="46" t="str">
        <f>IF(ج_ح_اردیبهشت15[[#This Row],[کارکرد]]="","",ج_ح_اردیبهشت15[[#This Row],[کارکرد]]*حق_مسکن/30)</f>
        <v/>
      </c>
      <c r="L62" s="49"/>
      <c r="M62" s="46" t="str">
        <f>IF(ج_ح_اردیبهشت15[[#This Row],[تعداد فرزندان]]="","",ج_ح_اردیبهشت15[[#This Row],[کارکرد]]/31*3*ج_ح_اردیبهشت15[[#This Row],[تعداد فرزندان]]*حداقل_حقوق_پایه_روزانه)</f>
        <v/>
      </c>
      <c r="N62" s="46" t="str">
        <f>IF(ج_ح_اردیبهشت15[[#This Row],[کارکرد]]="","",ج_ح_اردیبهشت15[[#This Row],[کارکرد]]*حق_خواربار/30)</f>
        <v/>
      </c>
      <c r="O62" s="46" t="str">
        <f>IFERROR(ج_ح_اردیبهشت15[[#This Row],[حقوق پایه]]+ج_ح_اردیبهشت15[[#This Row],[اضافه کاری]]+ج_ح_اردیبهشت15[[#This Row],[حق مسکن]]+ج_ح_اردیبهشت15[[#This Row],[حق اولاد]]+ج_ح_اردیبهشت15[[#This Row],[حق و خواروبار]],"")</f>
        <v/>
      </c>
      <c r="P62"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62" s="46" t="str">
        <f>IFERROR(ج_ح_اردیبهشت15[[#This Row],[حقوق پایه]]+ج_ح_اردیبهشت15[[#This Row],[اضافه کاری]]-(2/7)*ج_ح_اردیبهشت15[[#This Row],[بیمه پرداختنی]],"")</f>
        <v/>
      </c>
      <c r="R62" s="45">
        <v>0</v>
      </c>
      <c r="S62" s="45">
        <v>0</v>
      </c>
      <c r="T62" s="46" t="str">
        <f>IFERROR(ج_ح_اردیبهشت15[[#This Row],[جمع ح و م م بیمه ]]*7%,"")</f>
        <v/>
      </c>
      <c r="U62"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62" s="46" t="str">
        <f>IFERROR(ج_ح_اردیبهشت15[[#This Row],[وام]]+ج_ح_اردیبهشت15[[#This Row],[مساعده]]+ج_ح_اردیبهشت15[[#This Row],[بیمه پرداختنی]]+ج_ح_اردیبهشت15[[#This Row],[مالیات پرداختنی]],"")</f>
        <v/>
      </c>
      <c r="W62" s="46" t="str">
        <f>IFERROR(ج_ح_اردیبهشت15[[#This Row],[جمع ح و م]]-ج_ح_اردیبهشت15[[#This Row],[جمع کسورات]],"")</f>
        <v/>
      </c>
    </row>
    <row r="63" spans="2:23" s="41" customFormat="1" ht="32.1" customHeight="1">
      <c r="B63" s="41">
        <f t="shared" si="0"/>
        <v>2</v>
      </c>
      <c r="C63" s="42" t="str">
        <f>IF(ج_ح_اردیبهشت15[[#This Row],[نام]]&lt;&gt;"",ROW()-44+1,"")</f>
        <v/>
      </c>
      <c r="D63" s="43"/>
      <c r="E63" s="43"/>
      <c r="F63" s="44"/>
      <c r="G63" s="45"/>
      <c r="H63" s="46" t="str">
        <f>IF(ج_ح_اردیبهشت15[[#This Row],[کارکرد]]*ج_ح_اردیبهشت15[[#This Row],[دستمزد روزانه ]]=0,"",ج_ح_اردیبهشت15[[#This Row],[کارکرد]]*ج_ح_اردیبهشت15[[#This Row],[دستمزد روزانه ]])</f>
        <v/>
      </c>
      <c r="I63" s="47"/>
      <c r="J63" s="48">
        <f>(ج_ح_اردیبهشت15[[#This Row],[دستمزد روزانه ]]/7.33)*1.4*ج_ح_اردیبهشت15[[#This Row],[مدت اضافه کاری ]]</f>
        <v>0</v>
      </c>
      <c r="K63" s="46" t="str">
        <f>IF(ج_ح_اردیبهشت15[[#This Row],[کارکرد]]="","",ج_ح_اردیبهشت15[[#This Row],[کارکرد]]*حق_مسکن/30)</f>
        <v/>
      </c>
      <c r="L63" s="49"/>
      <c r="M63" s="46" t="str">
        <f>IF(ج_ح_اردیبهشت15[[#This Row],[تعداد فرزندان]]="","",ج_ح_اردیبهشت15[[#This Row],[کارکرد]]/31*3*ج_ح_اردیبهشت15[[#This Row],[تعداد فرزندان]]*حداقل_حقوق_پایه_روزانه)</f>
        <v/>
      </c>
      <c r="N63" s="46" t="str">
        <f>IF(ج_ح_اردیبهشت15[[#This Row],[کارکرد]]="","",ج_ح_اردیبهشت15[[#This Row],[کارکرد]]*حق_خواربار/30)</f>
        <v/>
      </c>
      <c r="O63" s="46" t="str">
        <f>IFERROR(ج_ح_اردیبهشت15[[#This Row],[حقوق پایه]]+ج_ح_اردیبهشت15[[#This Row],[اضافه کاری]]+ج_ح_اردیبهشت15[[#This Row],[حق مسکن]]+ج_ح_اردیبهشت15[[#This Row],[حق اولاد]]+ج_ح_اردیبهشت15[[#This Row],[حق و خواروبار]],"")</f>
        <v/>
      </c>
      <c r="P63"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63" s="46" t="str">
        <f>IFERROR(ج_ح_اردیبهشت15[[#This Row],[حقوق پایه]]+ج_ح_اردیبهشت15[[#This Row],[اضافه کاری]]-(2/7)*ج_ح_اردیبهشت15[[#This Row],[بیمه پرداختنی]],"")</f>
        <v/>
      </c>
      <c r="R63" s="45">
        <v>0</v>
      </c>
      <c r="S63" s="45">
        <v>0</v>
      </c>
      <c r="T63" s="46" t="str">
        <f>IFERROR(ج_ح_اردیبهشت15[[#This Row],[جمع ح و م م بیمه ]]*7%,"")</f>
        <v/>
      </c>
      <c r="U63"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63" s="46" t="str">
        <f>IFERROR(ج_ح_اردیبهشت15[[#This Row],[وام]]+ج_ح_اردیبهشت15[[#This Row],[مساعده]]+ج_ح_اردیبهشت15[[#This Row],[بیمه پرداختنی]]+ج_ح_اردیبهشت15[[#This Row],[مالیات پرداختنی]],"")</f>
        <v/>
      </c>
      <c r="W63" s="46" t="str">
        <f>IFERROR(ج_ح_اردیبهشت15[[#This Row],[جمع ح و م]]-ج_ح_اردیبهشت15[[#This Row],[جمع کسورات]],"")</f>
        <v/>
      </c>
    </row>
    <row r="64" spans="2:23" s="41" customFormat="1" ht="32.1" customHeight="1">
      <c r="B64" s="41">
        <f t="shared" si="0"/>
        <v>2</v>
      </c>
      <c r="C64" s="42" t="str">
        <f>IF(ج_ح_اردیبهشت15[[#This Row],[نام]]&lt;&gt;"",ROW()-44+1,"")</f>
        <v/>
      </c>
      <c r="D64" s="43"/>
      <c r="E64" s="43"/>
      <c r="F64" s="44"/>
      <c r="G64" s="45"/>
      <c r="H64" s="46" t="str">
        <f>IF(ج_ح_اردیبهشت15[[#This Row],[کارکرد]]*ج_ح_اردیبهشت15[[#This Row],[دستمزد روزانه ]]=0,"",ج_ح_اردیبهشت15[[#This Row],[کارکرد]]*ج_ح_اردیبهشت15[[#This Row],[دستمزد روزانه ]])</f>
        <v/>
      </c>
      <c r="I64" s="47"/>
      <c r="J64" s="48">
        <f>(ج_ح_اردیبهشت15[[#This Row],[دستمزد روزانه ]]/7.33)*1.4*ج_ح_اردیبهشت15[[#This Row],[مدت اضافه کاری ]]</f>
        <v>0</v>
      </c>
      <c r="K64" s="46" t="str">
        <f>IF(ج_ح_اردیبهشت15[[#This Row],[کارکرد]]="","",ج_ح_اردیبهشت15[[#This Row],[کارکرد]]*حق_مسکن/30)</f>
        <v/>
      </c>
      <c r="L64" s="49"/>
      <c r="M64" s="46" t="str">
        <f>IF(ج_ح_اردیبهشت15[[#This Row],[تعداد فرزندان]]="","",ج_ح_اردیبهشت15[[#This Row],[کارکرد]]/31*3*ج_ح_اردیبهشت15[[#This Row],[تعداد فرزندان]]*حداقل_حقوق_پایه_روزانه)</f>
        <v/>
      </c>
      <c r="N64" s="46" t="str">
        <f>IF(ج_ح_اردیبهشت15[[#This Row],[کارکرد]]="","",ج_ح_اردیبهشت15[[#This Row],[کارکرد]]*حق_خواربار/30)</f>
        <v/>
      </c>
      <c r="O64" s="46" t="str">
        <f>IFERROR(ج_ح_اردیبهشت15[[#This Row],[حقوق پایه]]+ج_ح_اردیبهشت15[[#This Row],[اضافه کاری]]+ج_ح_اردیبهشت15[[#This Row],[حق مسکن]]+ج_ح_اردیبهشت15[[#This Row],[حق اولاد]]+ج_ح_اردیبهشت15[[#This Row],[حق و خواروبار]],"")</f>
        <v/>
      </c>
      <c r="P64"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64" s="46" t="str">
        <f>IFERROR(ج_ح_اردیبهشت15[[#This Row],[حقوق پایه]]+ج_ح_اردیبهشت15[[#This Row],[اضافه کاری]]-(2/7)*ج_ح_اردیبهشت15[[#This Row],[بیمه پرداختنی]],"")</f>
        <v/>
      </c>
      <c r="R64" s="45">
        <v>0</v>
      </c>
      <c r="S64" s="45">
        <v>0</v>
      </c>
      <c r="T64" s="46" t="str">
        <f>IFERROR(ج_ح_اردیبهشت15[[#This Row],[جمع ح و م م بیمه ]]*7%,"")</f>
        <v/>
      </c>
      <c r="U64"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64" s="46" t="str">
        <f>IFERROR(ج_ح_اردیبهشت15[[#This Row],[وام]]+ج_ح_اردیبهشت15[[#This Row],[مساعده]]+ج_ح_اردیبهشت15[[#This Row],[بیمه پرداختنی]]+ج_ح_اردیبهشت15[[#This Row],[مالیات پرداختنی]],"")</f>
        <v/>
      </c>
      <c r="W64" s="46" t="str">
        <f>IFERROR(ج_ح_اردیبهشت15[[#This Row],[جمع ح و م]]-ج_ح_اردیبهشت15[[#This Row],[جمع کسورات]],"")</f>
        <v/>
      </c>
    </row>
    <row r="65" spans="1:23" s="41" customFormat="1" ht="32.1" customHeight="1">
      <c r="B65" s="41">
        <f t="shared" si="0"/>
        <v>2</v>
      </c>
      <c r="C65" s="42" t="str">
        <f>IF(ج_ح_اردیبهشت15[[#This Row],[نام]]&lt;&gt;"",ROW()-44+1,"")</f>
        <v/>
      </c>
      <c r="D65" s="43"/>
      <c r="E65" s="43"/>
      <c r="F65" s="44"/>
      <c r="G65" s="45"/>
      <c r="H65" s="46" t="str">
        <f>IF(ج_ح_اردیبهشت15[[#This Row],[کارکرد]]*ج_ح_اردیبهشت15[[#This Row],[دستمزد روزانه ]]=0,"",ج_ح_اردیبهشت15[[#This Row],[کارکرد]]*ج_ح_اردیبهشت15[[#This Row],[دستمزد روزانه ]])</f>
        <v/>
      </c>
      <c r="I65" s="47"/>
      <c r="J65" s="48">
        <f>(ج_ح_اردیبهشت15[[#This Row],[دستمزد روزانه ]]/7.33)*1.4*ج_ح_اردیبهشت15[[#This Row],[مدت اضافه کاری ]]</f>
        <v>0</v>
      </c>
      <c r="K65" s="46" t="str">
        <f>IF(ج_ح_اردیبهشت15[[#This Row],[کارکرد]]="","",ج_ح_اردیبهشت15[[#This Row],[کارکرد]]*حق_مسکن/30)</f>
        <v/>
      </c>
      <c r="L65" s="49"/>
      <c r="M65" s="46" t="str">
        <f>IF(ج_ح_اردیبهشت15[[#This Row],[تعداد فرزندان]]="","",ج_ح_اردیبهشت15[[#This Row],[کارکرد]]/31*3*ج_ح_اردیبهشت15[[#This Row],[تعداد فرزندان]]*حداقل_حقوق_پایه_روزانه)</f>
        <v/>
      </c>
      <c r="N65" s="46" t="str">
        <f>IF(ج_ح_اردیبهشت15[[#This Row],[کارکرد]]="","",ج_ح_اردیبهشت15[[#This Row],[کارکرد]]*حق_خواربار/30)</f>
        <v/>
      </c>
      <c r="O65" s="46" t="str">
        <f>IFERROR(ج_ح_اردیبهشت15[[#This Row],[حقوق پایه]]+ج_ح_اردیبهشت15[[#This Row],[اضافه کاری]]+ج_ح_اردیبهشت15[[#This Row],[حق مسکن]]+ج_ح_اردیبهشت15[[#This Row],[حق اولاد]]+ج_ح_اردیبهشت15[[#This Row],[حق و خواروبار]],"")</f>
        <v/>
      </c>
      <c r="P65"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65" s="46" t="str">
        <f>IFERROR(ج_ح_اردیبهشت15[[#This Row],[حقوق پایه]]+ج_ح_اردیبهشت15[[#This Row],[اضافه کاری]]-(2/7)*ج_ح_اردیبهشت15[[#This Row],[بیمه پرداختنی]],"")</f>
        <v/>
      </c>
      <c r="R65" s="45">
        <v>0</v>
      </c>
      <c r="S65" s="45">
        <v>0</v>
      </c>
      <c r="T65" s="46" t="str">
        <f>IFERROR(ج_ح_اردیبهشت15[[#This Row],[جمع ح و م م بیمه ]]*7%,"")</f>
        <v/>
      </c>
      <c r="U65"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65" s="46" t="str">
        <f>IFERROR(ج_ح_اردیبهشت15[[#This Row],[وام]]+ج_ح_اردیبهشت15[[#This Row],[مساعده]]+ج_ح_اردیبهشت15[[#This Row],[بیمه پرداختنی]]+ج_ح_اردیبهشت15[[#This Row],[مالیات پرداختنی]],"")</f>
        <v/>
      </c>
      <c r="W65" s="46" t="str">
        <f>IFERROR(ج_ح_اردیبهشت15[[#This Row],[جمع ح و م]]-ج_ح_اردیبهشت15[[#This Row],[جمع کسورات]],"")</f>
        <v/>
      </c>
    </row>
    <row r="66" spans="1:23" s="41" customFormat="1" ht="32.1" customHeight="1">
      <c r="B66" s="41">
        <f t="shared" si="0"/>
        <v>2</v>
      </c>
      <c r="C66" s="42" t="str">
        <f>IF(ج_ح_اردیبهشت15[[#This Row],[نام]]&lt;&gt;"",ROW()-44+1,"")</f>
        <v/>
      </c>
      <c r="D66" s="43"/>
      <c r="E66" s="43"/>
      <c r="F66" s="44"/>
      <c r="G66" s="45"/>
      <c r="H66" s="46" t="str">
        <f>IF(ج_ح_اردیبهشت15[[#This Row],[کارکرد]]*ج_ح_اردیبهشت15[[#This Row],[دستمزد روزانه ]]=0,"",ج_ح_اردیبهشت15[[#This Row],[کارکرد]]*ج_ح_اردیبهشت15[[#This Row],[دستمزد روزانه ]])</f>
        <v/>
      </c>
      <c r="I66" s="47"/>
      <c r="J66" s="48">
        <f>(ج_ح_اردیبهشت15[[#This Row],[دستمزد روزانه ]]/7.33)*1.4*ج_ح_اردیبهشت15[[#This Row],[مدت اضافه کاری ]]</f>
        <v>0</v>
      </c>
      <c r="K66" s="46" t="str">
        <f>IF(ج_ح_اردیبهشت15[[#This Row],[کارکرد]]="","",ج_ح_اردیبهشت15[[#This Row],[کارکرد]]*حق_مسکن/30)</f>
        <v/>
      </c>
      <c r="L66" s="49"/>
      <c r="M66" s="46" t="str">
        <f>IF(ج_ح_اردیبهشت15[[#This Row],[تعداد فرزندان]]="","",ج_ح_اردیبهشت15[[#This Row],[کارکرد]]/31*3*ج_ح_اردیبهشت15[[#This Row],[تعداد فرزندان]]*حداقل_حقوق_پایه_روزانه)</f>
        <v/>
      </c>
      <c r="N66" s="46" t="str">
        <f>IF(ج_ح_اردیبهشت15[[#This Row],[کارکرد]]="","",ج_ح_اردیبهشت15[[#This Row],[کارکرد]]*حق_خواربار/30)</f>
        <v/>
      </c>
      <c r="O66" s="46" t="str">
        <f>IFERROR(ج_ح_اردیبهشت15[[#This Row],[حقوق پایه]]+ج_ح_اردیبهشت15[[#This Row],[اضافه کاری]]+ج_ح_اردیبهشت15[[#This Row],[حق مسکن]]+ج_ح_اردیبهشت15[[#This Row],[حق اولاد]]+ج_ح_اردیبهشت15[[#This Row],[حق و خواروبار]],"")</f>
        <v/>
      </c>
      <c r="P66"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66" s="46" t="str">
        <f>IFERROR(ج_ح_اردیبهشت15[[#This Row],[حقوق پایه]]+ج_ح_اردیبهشت15[[#This Row],[اضافه کاری]]-(2/7)*ج_ح_اردیبهشت15[[#This Row],[بیمه پرداختنی]],"")</f>
        <v/>
      </c>
      <c r="R66" s="45">
        <v>0</v>
      </c>
      <c r="S66" s="45">
        <v>0</v>
      </c>
      <c r="T66" s="46" t="str">
        <f>IFERROR(ج_ح_اردیبهشت15[[#This Row],[جمع ح و م م بیمه ]]*7%,"")</f>
        <v/>
      </c>
      <c r="U66"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66" s="46" t="str">
        <f>IFERROR(ج_ح_اردیبهشت15[[#This Row],[وام]]+ج_ح_اردیبهشت15[[#This Row],[مساعده]]+ج_ح_اردیبهشت15[[#This Row],[بیمه پرداختنی]]+ج_ح_اردیبهشت15[[#This Row],[مالیات پرداختنی]],"")</f>
        <v/>
      </c>
      <c r="W66" s="46" t="str">
        <f>IFERROR(ج_ح_اردیبهشت15[[#This Row],[جمع ح و م]]-ج_ح_اردیبهشت15[[#This Row],[جمع کسورات]],"")</f>
        <v/>
      </c>
    </row>
    <row r="67" spans="1:23" s="41" customFormat="1" ht="32.1" customHeight="1">
      <c r="B67" s="41">
        <f t="shared" si="0"/>
        <v>2</v>
      </c>
      <c r="C67" s="42" t="str">
        <f>IF(ج_ح_اردیبهشت15[[#This Row],[نام]]&lt;&gt;"",ROW()-44+1,"")</f>
        <v/>
      </c>
      <c r="D67" s="43"/>
      <c r="E67" s="43"/>
      <c r="F67" s="44"/>
      <c r="G67" s="45"/>
      <c r="H67" s="46" t="str">
        <f>IF(ج_ح_اردیبهشت15[[#This Row],[کارکرد]]*ج_ح_اردیبهشت15[[#This Row],[دستمزد روزانه ]]=0,"",ج_ح_اردیبهشت15[[#This Row],[کارکرد]]*ج_ح_اردیبهشت15[[#This Row],[دستمزد روزانه ]])</f>
        <v/>
      </c>
      <c r="I67" s="47"/>
      <c r="J67" s="48">
        <f>(ج_ح_اردیبهشت15[[#This Row],[دستمزد روزانه ]]/7.33)*1.4*ج_ح_اردیبهشت15[[#This Row],[مدت اضافه کاری ]]</f>
        <v>0</v>
      </c>
      <c r="K67" s="46" t="str">
        <f>IF(ج_ح_اردیبهشت15[[#This Row],[کارکرد]]="","",ج_ح_اردیبهشت15[[#This Row],[کارکرد]]*حق_مسکن/30)</f>
        <v/>
      </c>
      <c r="L67" s="49"/>
      <c r="M67" s="46" t="str">
        <f>IF(ج_ح_اردیبهشت15[[#This Row],[تعداد فرزندان]]="","",ج_ح_اردیبهشت15[[#This Row],[کارکرد]]/31*3*ج_ح_اردیبهشت15[[#This Row],[تعداد فرزندان]]*حداقل_حقوق_پایه_روزانه)</f>
        <v/>
      </c>
      <c r="N67" s="46" t="str">
        <f>IF(ج_ح_اردیبهشت15[[#This Row],[کارکرد]]="","",ج_ح_اردیبهشت15[[#This Row],[کارکرد]]*حق_خواربار/30)</f>
        <v/>
      </c>
      <c r="O67" s="46" t="str">
        <f>IFERROR(ج_ح_اردیبهشت15[[#This Row],[حقوق پایه]]+ج_ح_اردیبهشت15[[#This Row],[اضافه کاری]]+ج_ح_اردیبهشت15[[#This Row],[حق مسکن]]+ج_ح_اردیبهشت15[[#This Row],[حق اولاد]]+ج_ح_اردیبهشت15[[#This Row],[حق و خواروبار]],"")</f>
        <v/>
      </c>
      <c r="P67"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67" s="46" t="str">
        <f>IFERROR(ج_ح_اردیبهشت15[[#This Row],[حقوق پایه]]+ج_ح_اردیبهشت15[[#This Row],[اضافه کاری]]-(2/7)*ج_ح_اردیبهشت15[[#This Row],[بیمه پرداختنی]],"")</f>
        <v/>
      </c>
      <c r="R67" s="45">
        <v>0</v>
      </c>
      <c r="S67" s="45">
        <v>0</v>
      </c>
      <c r="T67" s="46" t="str">
        <f>IFERROR(ج_ح_اردیبهشت15[[#This Row],[جمع ح و م م بیمه ]]*7%,"")</f>
        <v/>
      </c>
      <c r="U67"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67" s="46" t="str">
        <f>IFERROR(ج_ح_اردیبهشت15[[#This Row],[وام]]+ج_ح_اردیبهشت15[[#This Row],[مساعده]]+ج_ح_اردیبهشت15[[#This Row],[بیمه پرداختنی]]+ج_ح_اردیبهشت15[[#This Row],[مالیات پرداختنی]],"")</f>
        <v/>
      </c>
      <c r="W67" s="46" t="str">
        <f>IFERROR(ج_ح_اردیبهشت15[[#This Row],[جمع ح و م]]-ج_ح_اردیبهشت15[[#This Row],[جمع کسورات]],"")</f>
        <v/>
      </c>
    </row>
    <row r="68" spans="1:23" s="41" customFormat="1" ht="32.1" customHeight="1">
      <c r="B68" s="41">
        <f t="shared" si="0"/>
        <v>2</v>
      </c>
      <c r="C68" s="42" t="str">
        <f>IF(ج_ح_اردیبهشت15[[#This Row],[نام]]&lt;&gt;"",ROW()-44+1,"")</f>
        <v/>
      </c>
      <c r="D68" s="43"/>
      <c r="E68" s="43"/>
      <c r="F68" s="44"/>
      <c r="G68" s="45"/>
      <c r="H68" s="46" t="str">
        <f>IF(ج_ح_اردیبهشت15[[#This Row],[کارکرد]]*ج_ح_اردیبهشت15[[#This Row],[دستمزد روزانه ]]=0,"",ج_ح_اردیبهشت15[[#This Row],[کارکرد]]*ج_ح_اردیبهشت15[[#This Row],[دستمزد روزانه ]])</f>
        <v/>
      </c>
      <c r="I68" s="47"/>
      <c r="J68" s="48">
        <f>(ج_ح_اردیبهشت15[[#This Row],[دستمزد روزانه ]]/7.33)*1.4*ج_ح_اردیبهشت15[[#This Row],[مدت اضافه کاری ]]</f>
        <v>0</v>
      </c>
      <c r="K68" s="46" t="str">
        <f>IF(ج_ح_اردیبهشت15[[#This Row],[کارکرد]]="","",ج_ح_اردیبهشت15[[#This Row],[کارکرد]]*حق_مسکن/30)</f>
        <v/>
      </c>
      <c r="L68" s="49"/>
      <c r="M68" s="46" t="str">
        <f>IF(ج_ح_اردیبهشت15[[#This Row],[تعداد فرزندان]]="","",ج_ح_اردیبهشت15[[#This Row],[کارکرد]]/31*3*ج_ح_اردیبهشت15[[#This Row],[تعداد فرزندان]]*حداقل_حقوق_پایه_روزانه)</f>
        <v/>
      </c>
      <c r="N68" s="46" t="str">
        <f>IF(ج_ح_اردیبهشت15[[#This Row],[کارکرد]]="","",ج_ح_اردیبهشت15[[#This Row],[کارکرد]]*حق_خواربار/30)</f>
        <v/>
      </c>
      <c r="O68" s="46" t="str">
        <f>IFERROR(ج_ح_اردیبهشت15[[#This Row],[حقوق پایه]]+ج_ح_اردیبهشت15[[#This Row],[اضافه کاری]]+ج_ح_اردیبهشت15[[#This Row],[حق مسکن]]+ج_ح_اردیبهشت15[[#This Row],[حق اولاد]]+ج_ح_اردیبهشت15[[#This Row],[حق و خواروبار]],"")</f>
        <v/>
      </c>
      <c r="P68"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68" s="46" t="str">
        <f>IFERROR(ج_ح_اردیبهشت15[[#This Row],[حقوق پایه]]+ج_ح_اردیبهشت15[[#This Row],[اضافه کاری]]-(2/7)*ج_ح_اردیبهشت15[[#This Row],[بیمه پرداختنی]],"")</f>
        <v/>
      </c>
      <c r="R68" s="45">
        <v>0</v>
      </c>
      <c r="S68" s="45">
        <v>0</v>
      </c>
      <c r="T68" s="46" t="str">
        <f>IFERROR(ج_ح_اردیبهشت15[[#This Row],[جمع ح و م م بیمه ]]*7%,"")</f>
        <v/>
      </c>
      <c r="U68"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68" s="46" t="str">
        <f>IFERROR(ج_ح_اردیبهشت15[[#This Row],[وام]]+ج_ح_اردیبهشت15[[#This Row],[مساعده]]+ج_ح_اردیبهشت15[[#This Row],[بیمه پرداختنی]]+ج_ح_اردیبهشت15[[#This Row],[مالیات پرداختنی]],"")</f>
        <v/>
      </c>
      <c r="W68" s="46" t="str">
        <f>IFERROR(ج_ح_اردیبهشت15[[#This Row],[جمع ح و م]]-ج_ح_اردیبهشت15[[#This Row],[جمع کسورات]],"")</f>
        <v/>
      </c>
    </row>
    <row r="69" spans="1:23" s="41" customFormat="1" ht="32.1" customHeight="1">
      <c r="B69" s="41">
        <f t="shared" si="0"/>
        <v>2</v>
      </c>
      <c r="C69" s="42" t="str">
        <f>IF(ج_ح_اردیبهشت15[[#This Row],[نام]]&lt;&gt;"",ROW()-44+1,"")</f>
        <v/>
      </c>
      <c r="D69" s="43"/>
      <c r="E69" s="43"/>
      <c r="F69" s="44"/>
      <c r="G69" s="45"/>
      <c r="H69" s="46" t="str">
        <f>IF(ج_ح_اردیبهشت15[[#This Row],[کارکرد]]*ج_ح_اردیبهشت15[[#This Row],[دستمزد روزانه ]]=0,"",ج_ح_اردیبهشت15[[#This Row],[کارکرد]]*ج_ح_اردیبهشت15[[#This Row],[دستمزد روزانه ]])</f>
        <v/>
      </c>
      <c r="I69" s="47"/>
      <c r="J69" s="48">
        <f>(ج_ح_اردیبهشت15[[#This Row],[دستمزد روزانه ]]/7.33)*1.4*ج_ح_اردیبهشت15[[#This Row],[مدت اضافه کاری ]]</f>
        <v>0</v>
      </c>
      <c r="K69" s="46" t="str">
        <f>IF(ج_ح_اردیبهشت15[[#This Row],[کارکرد]]="","",ج_ح_اردیبهشت15[[#This Row],[کارکرد]]*حق_مسکن/30)</f>
        <v/>
      </c>
      <c r="L69" s="49"/>
      <c r="M69" s="46" t="str">
        <f>IF(ج_ح_اردیبهشت15[[#This Row],[تعداد فرزندان]]="","",ج_ح_اردیبهشت15[[#This Row],[کارکرد]]/31*3*ج_ح_اردیبهشت15[[#This Row],[تعداد فرزندان]]*حداقل_حقوق_پایه_روزانه)</f>
        <v/>
      </c>
      <c r="N69" s="46" t="str">
        <f>IF(ج_ح_اردیبهشت15[[#This Row],[کارکرد]]="","",ج_ح_اردیبهشت15[[#This Row],[کارکرد]]*حق_خواربار/30)</f>
        <v/>
      </c>
      <c r="O69" s="46" t="str">
        <f>IFERROR(ج_ح_اردیبهشت15[[#This Row],[حقوق پایه]]+ج_ح_اردیبهشت15[[#This Row],[اضافه کاری]]+ج_ح_اردیبهشت15[[#This Row],[حق مسکن]]+ج_ح_اردیبهشت15[[#This Row],[حق اولاد]]+ج_ح_اردیبهشت15[[#This Row],[حق و خواروبار]],"")</f>
        <v/>
      </c>
      <c r="P69"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69" s="46" t="str">
        <f>IFERROR(ج_ح_اردیبهشت15[[#This Row],[حقوق پایه]]+ج_ح_اردیبهشت15[[#This Row],[اضافه کاری]]-(2/7)*ج_ح_اردیبهشت15[[#This Row],[بیمه پرداختنی]],"")</f>
        <v/>
      </c>
      <c r="R69" s="45">
        <v>0</v>
      </c>
      <c r="S69" s="45">
        <v>0</v>
      </c>
      <c r="T69" s="46" t="str">
        <f>IFERROR(ج_ح_اردیبهشت15[[#This Row],[جمع ح و م م بیمه ]]*7%,"")</f>
        <v/>
      </c>
      <c r="U69"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69" s="46" t="str">
        <f>IFERROR(ج_ح_اردیبهشت15[[#This Row],[وام]]+ج_ح_اردیبهشت15[[#This Row],[مساعده]]+ج_ح_اردیبهشت15[[#This Row],[بیمه پرداختنی]]+ج_ح_اردیبهشت15[[#This Row],[مالیات پرداختنی]],"")</f>
        <v/>
      </c>
      <c r="W69" s="46" t="str">
        <f>IFERROR(ج_ح_اردیبهشت15[[#This Row],[جمع ح و م]]-ج_ح_اردیبهشت15[[#This Row],[جمع کسورات]],"")</f>
        <v/>
      </c>
    </row>
    <row r="70" spans="1:23" s="41" customFormat="1" ht="32.1" customHeight="1">
      <c r="B70" s="41">
        <f t="shared" si="0"/>
        <v>2</v>
      </c>
      <c r="C70" s="42" t="str">
        <f>IF(ج_ح_اردیبهشت15[[#This Row],[نام]]&lt;&gt;"",ROW()-44+1,"")</f>
        <v/>
      </c>
      <c r="D70" s="43"/>
      <c r="E70" s="43"/>
      <c r="F70" s="44"/>
      <c r="G70" s="45"/>
      <c r="H70" s="46" t="str">
        <f>IF(ج_ح_اردیبهشت15[[#This Row],[کارکرد]]*ج_ح_اردیبهشت15[[#This Row],[دستمزد روزانه ]]=0,"",ج_ح_اردیبهشت15[[#This Row],[کارکرد]]*ج_ح_اردیبهشت15[[#This Row],[دستمزد روزانه ]])</f>
        <v/>
      </c>
      <c r="I70" s="47"/>
      <c r="J70" s="48">
        <f>(ج_ح_اردیبهشت15[[#This Row],[دستمزد روزانه ]]/7.33)*1.4*ج_ح_اردیبهشت15[[#This Row],[مدت اضافه کاری ]]</f>
        <v>0</v>
      </c>
      <c r="K70" s="46" t="str">
        <f>IF(ج_ح_اردیبهشت15[[#This Row],[کارکرد]]="","",ج_ح_اردیبهشت15[[#This Row],[کارکرد]]*حق_مسکن/30)</f>
        <v/>
      </c>
      <c r="L70" s="49"/>
      <c r="M70" s="46" t="str">
        <f>IF(ج_ح_اردیبهشت15[[#This Row],[تعداد فرزندان]]="","",ج_ح_اردیبهشت15[[#This Row],[کارکرد]]/31*3*ج_ح_اردیبهشت15[[#This Row],[تعداد فرزندان]]*حداقل_حقوق_پایه_روزانه)</f>
        <v/>
      </c>
      <c r="N70" s="46" t="str">
        <f>IF(ج_ح_اردیبهشت15[[#This Row],[کارکرد]]="","",ج_ح_اردیبهشت15[[#This Row],[کارکرد]]*حق_خواربار/30)</f>
        <v/>
      </c>
      <c r="O70" s="46" t="str">
        <f>IFERROR(ج_ح_اردیبهشت15[[#This Row],[حقوق پایه]]+ج_ح_اردیبهشت15[[#This Row],[اضافه کاری]]+ج_ح_اردیبهشت15[[#This Row],[حق مسکن]]+ج_ح_اردیبهشت15[[#This Row],[حق اولاد]]+ج_ح_اردیبهشت15[[#This Row],[حق و خواروبار]],"")</f>
        <v/>
      </c>
      <c r="P70"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70" s="46" t="str">
        <f>IFERROR(ج_ح_اردیبهشت15[[#This Row],[حقوق پایه]]+ج_ح_اردیبهشت15[[#This Row],[اضافه کاری]]-(2/7)*ج_ح_اردیبهشت15[[#This Row],[بیمه پرداختنی]],"")</f>
        <v/>
      </c>
      <c r="R70" s="45">
        <v>0</v>
      </c>
      <c r="S70" s="45">
        <v>0</v>
      </c>
      <c r="T70" s="46" t="str">
        <f>IFERROR(ج_ح_اردیبهشت15[[#This Row],[جمع ح و م م بیمه ]]*7%,"")</f>
        <v/>
      </c>
      <c r="U70"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70" s="46" t="str">
        <f>IFERROR(ج_ح_اردیبهشت15[[#This Row],[وام]]+ج_ح_اردیبهشت15[[#This Row],[مساعده]]+ج_ح_اردیبهشت15[[#This Row],[بیمه پرداختنی]]+ج_ح_اردیبهشت15[[#This Row],[مالیات پرداختنی]],"")</f>
        <v/>
      </c>
      <c r="W70" s="46" t="str">
        <f>IFERROR(ج_ح_اردیبهشت15[[#This Row],[جمع ح و م]]-ج_ح_اردیبهشت15[[#This Row],[جمع کسورات]],"")</f>
        <v/>
      </c>
    </row>
    <row r="71" spans="1:23" s="41" customFormat="1" ht="32.1" customHeight="1">
      <c r="B71" s="41">
        <f t="shared" si="0"/>
        <v>2</v>
      </c>
      <c r="C71" s="42" t="str">
        <f>IF(ج_ح_اردیبهشت15[[#This Row],[نام]]&lt;&gt;"",ROW()-44+1,"")</f>
        <v/>
      </c>
      <c r="D71" s="43"/>
      <c r="E71" s="43"/>
      <c r="F71" s="44"/>
      <c r="G71" s="45"/>
      <c r="H71" s="46" t="str">
        <f>IF(ج_ح_اردیبهشت15[[#This Row],[کارکرد]]*ج_ح_اردیبهشت15[[#This Row],[دستمزد روزانه ]]=0,"",ج_ح_اردیبهشت15[[#This Row],[کارکرد]]*ج_ح_اردیبهشت15[[#This Row],[دستمزد روزانه ]])</f>
        <v/>
      </c>
      <c r="I71" s="47"/>
      <c r="J71" s="48">
        <f>(ج_ح_اردیبهشت15[[#This Row],[دستمزد روزانه ]]/7.33)*1.4*ج_ح_اردیبهشت15[[#This Row],[مدت اضافه کاری ]]</f>
        <v>0</v>
      </c>
      <c r="K71" s="46" t="str">
        <f>IF(ج_ح_اردیبهشت15[[#This Row],[کارکرد]]="","",ج_ح_اردیبهشت15[[#This Row],[کارکرد]]*حق_مسکن/30)</f>
        <v/>
      </c>
      <c r="L71" s="49"/>
      <c r="M71" s="46" t="str">
        <f>IF(ج_ح_اردیبهشت15[[#This Row],[تعداد فرزندان]]="","",ج_ح_اردیبهشت15[[#This Row],[کارکرد]]/31*3*ج_ح_اردیبهشت15[[#This Row],[تعداد فرزندان]]*حداقل_حقوق_پایه_روزانه)</f>
        <v/>
      </c>
      <c r="N71" s="46" t="str">
        <f>IF(ج_ح_اردیبهشت15[[#This Row],[کارکرد]]="","",ج_ح_اردیبهشت15[[#This Row],[کارکرد]]*حق_خواربار/30)</f>
        <v/>
      </c>
      <c r="O71" s="46" t="str">
        <f>IFERROR(ج_ح_اردیبهشت15[[#This Row],[حقوق پایه]]+ج_ح_اردیبهشت15[[#This Row],[اضافه کاری]]+ج_ح_اردیبهشت15[[#This Row],[حق مسکن]]+ج_ح_اردیبهشت15[[#This Row],[حق اولاد]]+ج_ح_اردیبهشت15[[#This Row],[حق و خواروبار]],"")</f>
        <v/>
      </c>
      <c r="P71"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71" s="46" t="str">
        <f>IFERROR(ج_ح_اردیبهشت15[[#This Row],[حقوق پایه]]+ج_ح_اردیبهشت15[[#This Row],[اضافه کاری]]-(2/7)*ج_ح_اردیبهشت15[[#This Row],[بیمه پرداختنی]],"")</f>
        <v/>
      </c>
      <c r="R71" s="45">
        <v>0</v>
      </c>
      <c r="S71" s="45">
        <v>0</v>
      </c>
      <c r="T71" s="46" t="str">
        <f>IFERROR(ج_ح_اردیبهشت15[[#This Row],[جمع ح و م م بیمه ]]*7%,"")</f>
        <v/>
      </c>
      <c r="U71"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71" s="46" t="str">
        <f>IFERROR(ج_ح_اردیبهشت15[[#This Row],[وام]]+ج_ح_اردیبهشت15[[#This Row],[مساعده]]+ج_ح_اردیبهشت15[[#This Row],[بیمه پرداختنی]]+ج_ح_اردیبهشت15[[#This Row],[مالیات پرداختنی]],"")</f>
        <v/>
      </c>
      <c r="W71" s="46" t="str">
        <f>IFERROR(ج_ح_اردیبهشت15[[#This Row],[جمع ح و م]]-ج_ح_اردیبهشت15[[#This Row],[جمع کسورات]],"")</f>
        <v/>
      </c>
    </row>
    <row r="72" spans="1:23" s="41" customFormat="1" ht="32.1" customHeight="1">
      <c r="B72" s="41">
        <f t="shared" si="0"/>
        <v>2</v>
      </c>
      <c r="C72" s="42" t="str">
        <f>IF(ج_ح_اردیبهشت15[[#This Row],[نام]]&lt;&gt;"",ROW()-44+1,"")</f>
        <v/>
      </c>
      <c r="D72" s="43"/>
      <c r="E72" s="43"/>
      <c r="F72" s="44"/>
      <c r="G72" s="45"/>
      <c r="H72" s="46" t="str">
        <f>IF(ج_ح_اردیبهشت15[[#This Row],[کارکرد]]*ج_ح_اردیبهشت15[[#This Row],[دستمزد روزانه ]]=0,"",ج_ح_اردیبهشت15[[#This Row],[کارکرد]]*ج_ح_اردیبهشت15[[#This Row],[دستمزد روزانه ]])</f>
        <v/>
      </c>
      <c r="I72" s="47"/>
      <c r="J72" s="48">
        <f>(ج_ح_اردیبهشت15[[#This Row],[دستمزد روزانه ]]/7.33)*1.4*ج_ح_اردیبهشت15[[#This Row],[مدت اضافه کاری ]]</f>
        <v>0</v>
      </c>
      <c r="K72" s="46" t="str">
        <f>IF(ج_ح_اردیبهشت15[[#This Row],[کارکرد]]="","",ج_ح_اردیبهشت15[[#This Row],[کارکرد]]*حق_مسکن/30)</f>
        <v/>
      </c>
      <c r="L72" s="49"/>
      <c r="M72" s="46" t="str">
        <f>IF(ج_ح_اردیبهشت15[[#This Row],[تعداد فرزندان]]="","",ج_ح_اردیبهشت15[[#This Row],[کارکرد]]/31*3*ج_ح_اردیبهشت15[[#This Row],[تعداد فرزندان]]*حداقل_حقوق_پایه_روزانه)</f>
        <v/>
      </c>
      <c r="N72" s="46" t="str">
        <f>IF(ج_ح_اردیبهشت15[[#This Row],[کارکرد]]="","",ج_ح_اردیبهشت15[[#This Row],[کارکرد]]*حق_خواربار/30)</f>
        <v/>
      </c>
      <c r="O72" s="46" t="str">
        <f>IFERROR(ج_ح_اردیبهشت15[[#This Row],[حقوق پایه]]+ج_ح_اردیبهشت15[[#This Row],[اضافه کاری]]+ج_ح_اردیبهشت15[[#This Row],[حق مسکن]]+ج_ح_اردیبهشت15[[#This Row],[حق اولاد]]+ج_ح_اردیبهشت15[[#This Row],[حق و خواروبار]],"")</f>
        <v/>
      </c>
      <c r="P72"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72" s="46" t="str">
        <f>IFERROR(ج_ح_اردیبهشت15[[#This Row],[حقوق پایه]]+ج_ح_اردیبهشت15[[#This Row],[اضافه کاری]]-(2/7)*ج_ح_اردیبهشت15[[#This Row],[بیمه پرداختنی]],"")</f>
        <v/>
      </c>
      <c r="R72" s="45">
        <v>0</v>
      </c>
      <c r="S72" s="45">
        <v>0</v>
      </c>
      <c r="T72" s="46" t="str">
        <f>IFERROR(ج_ح_اردیبهشت15[[#This Row],[جمع ح و م م بیمه ]]*7%,"")</f>
        <v/>
      </c>
      <c r="U72"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72" s="46" t="str">
        <f>IFERROR(ج_ح_اردیبهشت15[[#This Row],[وام]]+ج_ح_اردیبهشت15[[#This Row],[مساعده]]+ج_ح_اردیبهشت15[[#This Row],[بیمه پرداختنی]]+ج_ح_اردیبهشت15[[#This Row],[مالیات پرداختنی]],"")</f>
        <v/>
      </c>
      <c r="W72" s="46" t="str">
        <f>IFERROR(ج_ح_اردیبهشت15[[#This Row],[جمع ح و م]]-ج_ح_اردیبهشت15[[#This Row],[جمع کسورات]],"")</f>
        <v/>
      </c>
    </row>
    <row r="73" spans="1:23" s="41" customFormat="1" ht="32.1" customHeight="1">
      <c r="B73" s="41">
        <f t="shared" si="0"/>
        <v>2</v>
      </c>
      <c r="C73" s="42" t="str">
        <f>IF(ج_ح_اردیبهشت15[[#This Row],[نام]]&lt;&gt;"",ROW()-44+1,"")</f>
        <v/>
      </c>
      <c r="D73" s="43"/>
      <c r="E73" s="43"/>
      <c r="F73" s="44"/>
      <c r="G73" s="45"/>
      <c r="H73" s="46" t="str">
        <f>IF(ج_ح_اردیبهشت15[[#This Row],[کارکرد]]*ج_ح_اردیبهشت15[[#This Row],[دستمزد روزانه ]]=0,"",ج_ح_اردیبهشت15[[#This Row],[کارکرد]]*ج_ح_اردیبهشت15[[#This Row],[دستمزد روزانه ]])</f>
        <v/>
      </c>
      <c r="I73" s="47"/>
      <c r="J73" s="48">
        <f>(ج_ح_اردیبهشت15[[#This Row],[دستمزد روزانه ]]/7.33)*1.4*ج_ح_اردیبهشت15[[#This Row],[مدت اضافه کاری ]]</f>
        <v>0</v>
      </c>
      <c r="K73" s="46" t="str">
        <f>IF(ج_ح_اردیبهشت15[[#This Row],[کارکرد]]="","",ج_ح_اردیبهشت15[[#This Row],[کارکرد]]*حق_مسکن/30)</f>
        <v/>
      </c>
      <c r="L73" s="49"/>
      <c r="M73" s="46" t="str">
        <f>IF(ج_ح_اردیبهشت15[[#This Row],[تعداد فرزندان]]="","",ج_ح_اردیبهشت15[[#This Row],[کارکرد]]/31*3*ج_ح_اردیبهشت15[[#This Row],[تعداد فرزندان]]*حداقل_حقوق_پایه_روزانه)</f>
        <v/>
      </c>
      <c r="N73" s="46" t="str">
        <f>IF(ج_ح_اردیبهشت15[[#This Row],[کارکرد]]="","",ج_ح_اردیبهشت15[[#This Row],[کارکرد]]*حق_خواربار/30)</f>
        <v/>
      </c>
      <c r="O73" s="46" t="str">
        <f>IFERROR(ج_ح_اردیبهشت15[[#This Row],[حقوق پایه]]+ج_ح_اردیبهشت15[[#This Row],[اضافه کاری]]+ج_ح_اردیبهشت15[[#This Row],[حق مسکن]]+ج_ح_اردیبهشت15[[#This Row],[حق اولاد]]+ج_ح_اردیبهشت15[[#This Row],[حق و خواروبار]],"")</f>
        <v/>
      </c>
      <c r="P73" s="46" t="str">
        <f>IFERROR(IF(ج_ح_اردیبهشت15[[#This Row],[حقوق پایه]]+ج_ح_اردیبهشت15[[#This Row],[اضافه کاری]]+ج_ح_اردیبهشت15[[#This Row],[حق مسکن]]+ج_ح_اردیبهشت15[[#This Row],[حق و خواروبار]]&gt;حداکثر_حقوق_مشمول_بیمه_ماهانه,حداکثر_حقوق_مشمول_بیمه_ماهانه,ج_ح_اردیبهشت15[[#This Row],[حقوق پایه]]+ج_ح_اردیبهشت15[[#This Row],[اضافه کاری]]+ج_ح_اردیبهشت15[[#This Row],[حق مسکن]]+ج_ح_اردیبهشت15[[#This Row],[حق و خواروبار]]),"")</f>
        <v/>
      </c>
      <c r="Q73" s="46" t="str">
        <f>IFERROR(ج_ح_اردیبهشت15[[#This Row],[حقوق پایه]]+ج_ح_اردیبهشت15[[#This Row],[اضافه کاری]]-(2/7)*ج_ح_اردیبهشت15[[#This Row],[بیمه پرداختنی]],"")</f>
        <v/>
      </c>
      <c r="R73" s="45">
        <v>0</v>
      </c>
      <c r="S73" s="45">
        <v>0</v>
      </c>
      <c r="T73" s="46" t="str">
        <f>IFERROR(ج_ح_اردیبهشت15[[#This Row],[جمع ح و م م بیمه ]]*7%,"")</f>
        <v/>
      </c>
      <c r="U73" s="50" t="str">
        <f>IFERROR(IF(ج_ح_اردیبهشت15[[#This Row],[جمع ح و م م مالیات]]&gt;=320000000,(ج_ح_اردیبهشت15[[#This Row],[جمع ح و م م مالیات]]-320000000)*35%+61000000,
IF(ج_ح_اردیبهشت15[[#This Row],[جمع ح و م م مالیات]]&gt;=240000000,(ج_ح_اردیبهشت15[[#This Row],[جمع ح و م م مالیات]]-240000000)*30%+37000000,
IF(ج_ح_اردیبهشت15[[#This Row],[جمع ح و م م مالیات]]&gt;=180000000,(ج_ح_اردیبهشت15[[#This Row],[جمع ح و م م مالیات]]-180000000)*25%+22000000,
IF(ج_ح_اردیبهشت15[[#This Row],[جمع ح و م م مالیات]]&gt;=120000000,(ج_ح_اردیبهشت15[[#This Row],[جمع ح و م م مالیات]]-120000000)*20%+10000000,
IF(ج_ح_اردیبهشت15[[#This Row],[جمع ح و م م مالیات]]&gt;=80000000,(ج_ح_اردیبهشت15[[#This Row],[جمع ح و م م مالیات]]-80000000)*15%+4000000,
IF(ج_ح_اردیبهشت15[[#This Row],[جمع ح و م م مالیات]]&gt;=40000000,(ج_ح_اردیبهشت15[[#This Row],[جمع ح و م م مالیات]]-40000000)*10%,0)))))),"")</f>
        <v/>
      </c>
      <c r="V73" s="46" t="str">
        <f>IFERROR(ج_ح_اردیبهشت15[[#This Row],[وام]]+ج_ح_اردیبهشت15[[#This Row],[مساعده]]+ج_ح_اردیبهشت15[[#This Row],[بیمه پرداختنی]]+ج_ح_اردیبهشت15[[#This Row],[مالیات پرداختنی]],"")</f>
        <v/>
      </c>
      <c r="W73" s="46" t="str">
        <f>IFERROR(ج_ح_اردیبهشت15[[#This Row],[جمع ح و م]]-ج_ح_اردیبهشت15[[#This Row],[جمع کسورات]],"")</f>
        <v/>
      </c>
    </row>
    <row r="74" spans="1:23" ht="32.1" customHeight="1">
      <c r="B74" s="32">
        <f t="shared" si="0"/>
        <v>2</v>
      </c>
      <c r="C74" s="51"/>
      <c r="D74" s="52"/>
      <c r="E74" s="52" t="s">
        <v>124</v>
      </c>
      <c r="F74" s="53">
        <f>SUBTOTAL(109,ج_ح_اردیبهشت15[کارکرد])</f>
        <v>31</v>
      </c>
      <c r="G74" s="54">
        <f>SUBTOTAL(109,ج_ح_اردیبهشت15[[دستمزد روزانه ]])</f>
        <v>1000000</v>
      </c>
      <c r="H74" s="54">
        <f>SUBTOTAL(109,ج_ح_اردیبهشت15[حقوق پایه])</f>
        <v>31000000</v>
      </c>
      <c r="I74" s="55">
        <f>SUBTOTAL(109,ج_ح_اردیبهشت15[[مدت اضافه کاری ]])</f>
        <v>7.33</v>
      </c>
      <c r="J74" s="56">
        <f>SUBTOTAL(109,ج_ح_اردیبهشت15[اضافه کاری])</f>
        <v>1400000</v>
      </c>
      <c r="K74" s="54">
        <f>SUBTOTAL(109,ج_ح_اردیبهشت15[حق مسکن])</f>
        <v>0</v>
      </c>
      <c r="L74" s="57">
        <f>SUBTOTAL(109,ج_ح_اردیبهشت15[تعداد فرزندان])</f>
        <v>1</v>
      </c>
      <c r="M74" s="54">
        <f>SUBTOTAL(109,ج_ح_اردیبهشت15[حق اولاد])</f>
        <v>0</v>
      </c>
      <c r="N74" s="54">
        <f>SUBTOTAL(109,ج_ح_اردیبهشت15[حق و خواروبار])</f>
        <v>0</v>
      </c>
      <c r="O74" s="54">
        <f>SUBTOTAL(109,ج_ح_اردیبهشت15[جمع ح و م])</f>
        <v>32400000</v>
      </c>
      <c r="P74" s="54">
        <f>SUBTOTAL(109,ج_ح_اردیبهشت15[[جمع ح و م م بیمه ]])</f>
        <v>0</v>
      </c>
      <c r="Q74" s="54">
        <f>SUBTOTAL(109,ج_ح_اردیبهشت15[جمع ح و م م مالیات])</f>
        <v>0</v>
      </c>
      <c r="R74" s="54">
        <f>SUBTOTAL(109,ج_ح_اردیبهشت15[وام])</f>
        <v>0</v>
      </c>
      <c r="S74" s="54">
        <f>SUBTOTAL(109,ج_ح_اردیبهشت15[مساعده])</f>
        <v>0</v>
      </c>
      <c r="T74" s="54">
        <f>SUBTOTAL(109,ج_ح_اردیبهشت15[بیمه پرداختنی])</f>
        <v>0</v>
      </c>
      <c r="U74" s="54">
        <f>SUBTOTAL(109,ج_ح_اردیبهشت15[مالیات پرداختنی])</f>
        <v>0</v>
      </c>
      <c r="V74" s="54">
        <f>SUBTOTAL(109,ج_ح_اردیبهشت15[جمع کسورات])</f>
        <v>0</v>
      </c>
      <c r="W74" s="54">
        <f>SUBTOTAL(109,ج_ح_اردیبهشت15[خالص قابل پرداخت])</f>
        <v>0</v>
      </c>
    </row>
    <row r="75" spans="1:23" ht="8.1" customHeight="1"/>
    <row r="76" spans="1:23" s="33" customFormat="1" ht="39.950000000000003" customHeight="1">
      <c r="A76" s="34"/>
      <c r="B76" s="34"/>
      <c r="C76" s="111" t="s">
        <v>94</v>
      </c>
      <c r="D76" s="111"/>
      <c r="E76" s="111"/>
      <c r="F76" s="111"/>
      <c r="G76" s="111"/>
      <c r="H76" s="111"/>
      <c r="I76" s="111"/>
      <c r="J76" s="111"/>
      <c r="K76" s="111"/>
      <c r="L76" s="111"/>
      <c r="M76" s="111"/>
      <c r="N76" s="111"/>
      <c r="O76" s="111"/>
      <c r="P76" s="111"/>
      <c r="Q76" s="111"/>
      <c r="R76" s="111"/>
      <c r="S76" s="111"/>
      <c r="T76" s="111"/>
      <c r="U76" s="111"/>
      <c r="V76" s="111"/>
      <c r="W76" s="111"/>
    </row>
    <row r="77" spans="1:23" s="33" customFormat="1" ht="50.1" customHeight="1">
      <c r="C77" s="112" t="s">
        <v>127</v>
      </c>
      <c r="D77" s="112"/>
      <c r="E77" s="112"/>
      <c r="F77" s="112"/>
      <c r="G77" s="112"/>
      <c r="H77" s="112"/>
      <c r="I77" s="112"/>
      <c r="J77" s="112"/>
      <c r="K77" s="112"/>
      <c r="L77" s="112"/>
      <c r="M77" s="112"/>
      <c r="N77" s="112"/>
      <c r="O77" s="112"/>
      <c r="P77" s="112"/>
      <c r="Q77" s="112"/>
      <c r="R77" s="112"/>
      <c r="S77" s="112"/>
      <c r="T77" s="112"/>
      <c r="U77" s="112"/>
      <c r="V77" s="112"/>
      <c r="W77" s="112"/>
    </row>
    <row r="78" spans="1:23" s="35" customFormat="1" ht="50.1" customHeight="1">
      <c r="C78" s="104" t="s">
        <v>45</v>
      </c>
      <c r="D78" s="36" t="s">
        <v>96</v>
      </c>
      <c r="E78" s="36" t="s">
        <v>97</v>
      </c>
      <c r="F78" s="36" t="s">
        <v>98</v>
      </c>
      <c r="G78" s="36" t="s">
        <v>99</v>
      </c>
      <c r="H78" s="36" t="s">
        <v>100</v>
      </c>
      <c r="I78" s="36" t="s">
        <v>101</v>
      </c>
      <c r="J78" s="36" t="s">
        <v>102</v>
      </c>
      <c r="K78" s="36" t="s">
        <v>17</v>
      </c>
      <c r="L78" s="36" t="s">
        <v>103</v>
      </c>
      <c r="M78" s="36" t="s">
        <v>104</v>
      </c>
      <c r="N78" s="36" t="s">
        <v>105</v>
      </c>
      <c r="O78" s="36" t="s">
        <v>106</v>
      </c>
      <c r="P78" s="36" t="s">
        <v>107</v>
      </c>
      <c r="Q78" s="36" t="s">
        <v>108</v>
      </c>
      <c r="R78" s="36" t="s">
        <v>109</v>
      </c>
      <c r="S78" s="36" t="s">
        <v>110</v>
      </c>
      <c r="T78" s="36" t="s">
        <v>111</v>
      </c>
      <c r="U78" s="36" t="s">
        <v>112</v>
      </c>
      <c r="V78" s="36" t="s">
        <v>113</v>
      </c>
      <c r="W78" s="36" t="s">
        <v>114</v>
      </c>
    </row>
    <row r="79" spans="1:23" s="33" customFormat="1" ht="32.1" customHeight="1">
      <c r="C79" s="104"/>
      <c r="D79" s="37">
        <v>1</v>
      </c>
      <c r="E79" s="37">
        <v>2</v>
      </c>
      <c r="F79" s="37">
        <v>3</v>
      </c>
      <c r="G79" s="37">
        <v>4</v>
      </c>
      <c r="H79" s="37">
        <v>5</v>
      </c>
      <c r="I79" s="37">
        <v>6</v>
      </c>
      <c r="J79" s="37">
        <v>7</v>
      </c>
      <c r="K79" s="37">
        <v>8</v>
      </c>
      <c r="L79" s="37">
        <v>9</v>
      </c>
      <c r="M79" s="37">
        <v>10</v>
      </c>
      <c r="N79" s="37">
        <v>11</v>
      </c>
      <c r="O79" s="37">
        <v>12</v>
      </c>
      <c r="P79" s="37">
        <v>13</v>
      </c>
      <c r="Q79" s="37">
        <v>14</v>
      </c>
      <c r="R79" s="37">
        <v>15</v>
      </c>
      <c r="S79" s="37">
        <v>16</v>
      </c>
      <c r="T79" s="37">
        <v>17</v>
      </c>
      <c r="U79" s="37">
        <v>18</v>
      </c>
      <c r="V79" s="37">
        <v>19</v>
      </c>
      <c r="W79" s="38">
        <v>20</v>
      </c>
    </row>
    <row r="80" spans="1:23" s="33" customFormat="1" ht="20.100000000000001" customHeight="1">
      <c r="C80" s="39" t="s">
        <v>45</v>
      </c>
      <c r="D80" s="39" t="s">
        <v>96</v>
      </c>
      <c r="E80" s="39" t="s">
        <v>97</v>
      </c>
      <c r="F80" s="39" t="s">
        <v>98</v>
      </c>
      <c r="G80" s="39" t="s">
        <v>99</v>
      </c>
      <c r="H80" s="39" t="s">
        <v>100</v>
      </c>
      <c r="I80" s="39" t="s">
        <v>115</v>
      </c>
      <c r="J80" s="39" t="s">
        <v>102</v>
      </c>
      <c r="K80" s="39" t="s">
        <v>17</v>
      </c>
      <c r="L80" s="39" t="s">
        <v>116</v>
      </c>
      <c r="M80" s="39" t="s">
        <v>104</v>
      </c>
      <c r="N80" s="39" t="s">
        <v>117</v>
      </c>
      <c r="O80" s="39" t="s">
        <v>118</v>
      </c>
      <c r="P80" s="39" t="s">
        <v>119</v>
      </c>
      <c r="Q80" s="40" t="s">
        <v>120</v>
      </c>
      <c r="R80" s="39" t="s">
        <v>109</v>
      </c>
      <c r="S80" s="39" t="s">
        <v>110</v>
      </c>
      <c r="T80" s="40" t="s">
        <v>121</v>
      </c>
      <c r="U80" s="40" t="s">
        <v>14</v>
      </c>
      <c r="V80" s="39" t="s">
        <v>113</v>
      </c>
      <c r="W80" s="39" t="s">
        <v>122</v>
      </c>
    </row>
    <row r="81" spans="2:23" s="41" customFormat="1" ht="32.1" customHeight="1">
      <c r="B81" s="41">
        <f>B74+1</f>
        <v>3</v>
      </c>
      <c r="C81" s="42">
        <f>IF(ج_ح_خرداد16[[#This Row],[نام]]&lt;&gt;"",ROW()-81+1,"")</f>
        <v>1</v>
      </c>
      <c r="D81" s="43" t="s">
        <v>123</v>
      </c>
      <c r="E81" s="43" t="s">
        <v>123</v>
      </c>
      <c r="F81" s="44">
        <v>31</v>
      </c>
      <c r="G81" s="45">
        <v>1000000</v>
      </c>
      <c r="H81" s="46">
        <f>IF(ج_ح_خرداد16[[#This Row],[کارکرد]]*ج_ح_خرداد16[[#This Row],[دستمزد روزانه ]]=0,"",ج_ح_خرداد16[[#This Row],[کارکرد]]*ج_ح_خرداد16[[#This Row],[دستمزد روزانه ]])</f>
        <v>31000000</v>
      </c>
      <c r="I81" s="47">
        <v>7.33</v>
      </c>
      <c r="J81" s="48">
        <f>(ج_ح_خرداد16[[#This Row],[دستمزد روزانه ]]/7.33)*1.4*ج_ح_خرداد16[[#This Row],[مدت اضافه کاری ]]</f>
        <v>1400000</v>
      </c>
      <c r="K81" s="46">
        <f>IF(ج_ح_خرداد16[[#This Row],[کارکرد]]="","",ج_ح_خرداد16[[#This Row],[کارکرد]]*حق_مسکن/30)</f>
        <v>0</v>
      </c>
      <c r="L81" s="49">
        <v>1</v>
      </c>
      <c r="M81" s="46">
        <f>IF(ج_ح_خرداد16[[#This Row],[تعداد فرزندان]]="","",ج_ح_خرداد16[[#This Row],[کارکرد]]/31*3*ج_ح_خرداد16[[#This Row],[تعداد فرزندان]]*حداقل_حقوق_پایه_روزانه)</f>
        <v>0</v>
      </c>
      <c r="N81" s="46">
        <f>IF(ج_ح_خرداد16[[#This Row],[کارکرد]]="","",ج_ح_خرداد16[[#This Row],[کارکرد]]*حق_خواربار/30)</f>
        <v>0</v>
      </c>
      <c r="O81" s="46">
        <f>IFERROR(ج_ح_خرداد16[[#This Row],[حقوق پایه]]+ج_ح_خرداد16[[#This Row],[اضافه کاری]]+ج_ح_خرداد16[[#This Row],[حق مسکن]]+ج_ح_خرداد16[[#This Row],[حق اولاد]]+ج_ح_خرداد16[[#This Row],[حق و خواروبار]],"")</f>
        <v>32400000</v>
      </c>
      <c r="P81"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81" s="46" t="str">
        <f>IFERROR(ج_ح_خرداد16[[#This Row],[حقوق پایه]]+ج_ح_خرداد16[[#This Row],[اضافه کاری]]-(2/7)*ج_ح_خرداد16[[#This Row],[بیمه پرداختنی]],"")</f>
        <v/>
      </c>
      <c r="R81" s="45"/>
      <c r="S81" s="45"/>
      <c r="T81" s="46" t="str">
        <f>IFERROR(ج_ح_خرداد16[[#This Row],[جمع ح و م م بیمه ]]*7%,"")</f>
        <v/>
      </c>
      <c r="U81"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81" s="46" t="str">
        <f>IFERROR(ج_ح_خرداد16[[#This Row],[وام]]+ج_ح_خرداد16[[#This Row],[مساعده]]+ج_ح_خرداد16[[#This Row],[بیمه پرداختنی]]+ج_ح_خرداد16[[#This Row],[مالیات پرداختنی]],"")</f>
        <v/>
      </c>
      <c r="W81" s="46" t="str">
        <f>IFERROR(ج_ح_خرداد16[[#This Row],[جمع ح و م]]-ج_ح_خرداد16[[#This Row],[جمع کسورات]],"")</f>
        <v/>
      </c>
    </row>
    <row r="82" spans="2:23" s="41" customFormat="1" ht="32.1" customHeight="1">
      <c r="B82" s="41">
        <f>B81</f>
        <v>3</v>
      </c>
      <c r="C82" s="42" t="str">
        <f>IF(ج_ح_خرداد16[[#This Row],[نام]]&lt;&gt;"",ROW()-81+1,"")</f>
        <v/>
      </c>
      <c r="D82" s="43"/>
      <c r="E82" s="43"/>
      <c r="F82" s="44"/>
      <c r="G82" s="45"/>
      <c r="H82" s="46" t="str">
        <f>IF(ج_ح_خرداد16[[#This Row],[کارکرد]]*ج_ح_خرداد16[[#This Row],[دستمزد روزانه ]]=0,"",ج_ح_خرداد16[[#This Row],[کارکرد]]*ج_ح_خرداد16[[#This Row],[دستمزد روزانه ]])</f>
        <v/>
      </c>
      <c r="I82" s="47"/>
      <c r="J82" s="48">
        <f>(ج_ح_خرداد16[[#This Row],[دستمزد روزانه ]]/7.33)*1.4*ج_ح_خرداد16[[#This Row],[مدت اضافه کاری ]]</f>
        <v>0</v>
      </c>
      <c r="K82" s="46" t="str">
        <f>IF(ج_ح_خرداد16[[#This Row],[کارکرد]]="","",ج_ح_خرداد16[[#This Row],[کارکرد]]*حق_مسکن/30)</f>
        <v/>
      </c>
      <c r="L82" s="49"/>
      <c r="M82" s="46" t="str">
        <f>IF(ج_ح_خرداد16[[#This Row],[تعداد فرزندان]]="","",ج_ح_خرداد16[[#This Row],[کارکرد]]/31*3*ج_ح_خرداد16[[#This Row],[تعداد فرزندان]]*حداقل_حقوق_پایه_روزانه)</f>
        <v/>
      </c>
      <c r="N82" s="46" t="str">
        <f>IF(ج_ح_خرداد16[[#This Row],[کارکرد]]="","",ج_ح_خرداد16[[#This Row],[کارکرد]]*حق_خواربار/30)</f>
        <v/>
      </c>
      <c r="O82" s="46" t="str">
        <f>IFERROR(ج_ح_خرداد16[[#This Row],[حقوق پایه]]+ج_ح_خرداد16[[#This Row],[اضافه کاری]]+ج_ح_خرداد16[[#This Row],[حق مسکن]]+ج_ح_خرداد16[[#This Row],[حق اولاد]]+ج_ح_خرداد16[[#This Row],[حق و خواروبار]],"")</f>
        <v/>
      </c>
      <c r="P82"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82" s="46" t="str">
        <f>IFERROR(ج_ح_خرداد16[[#This Row],[حقوق پایه]]+ج_ح_خرداد16[[#This Row],[اضافه کاری]]-(2/7)*ج_ح_خرداد16[[#This Row],[بیمه پرداختنی]],"")</f>
        <v/>
      </c>
      <c r="R82" s="45"/>
      <c r="S82" s="45"/>
      <c r="T82" s="46" t="str">
        <f>IFERROR(ج_ح_خرداد16[[#This Row],[جمع ح و م م بیمه ]]*7%,"")</f>
        <v/>
      </c>
      <c r="U82"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82" s="46" t="str">
        <f>IFERROR(ج_ح_خرداد16[[#This Row],[وام]]+ج_ح_خرداد16[[#This Row],[مساعده]]+ج_ح_خرداد16[[#This Row],[بیمه پرداختنی]]+ج_ح_خرداد16[[#This Row],[مالیات پرداختنی]],"")</f>
        <v/>
      </c>
      <c r="W82" s="46" t="str">
        <f>IFERROR(ج_ح_خرداد16[[#This Row],[جمع ح و م]]-ج_ح_خرداد16[[#This Row],[جمع کسورات]],"")</f>
        <v/>
      </c>
    </row>
    <row r="83" spans="2:23" s="41" customFormat="1" ht="32.1" customHeight="1">
      <c r="B83" s="41">
        <f t="shared" ref="B83:B111" si="1">B82</f>
        <v>3</v>
      </c>
      <c r="C83" s="42" t="str">
        <f>IF(ج_ح_خرداد16[[#This Row],[نام]]&lt;&gt;"",ROW()-81+1,"")</f>
        <v/>
      </c>
      <c r="D83" s="43"/>
      <c r="E83" s="43"/>
      <c r="F83" s="44"/>
      <c r="G83" s="45"/>
      <c r="H83" s="46" t="str">
        <f>IF(ج_ح_خرداد16[[#This Row],[کارکرد]]*ج_ح_خرداد16[[#This Row],[دستمزد روزانه ]]=0,"",ج_ح_خرداد16[[#This Row],[کارکرد]]*ج_ح_خرداد16[[#This Row],[دستمزد روزانه ]])</f>
        <v/>
      </c>
      <c r="I83" s="47"/>
      <c r="J83" s="48">
        <f>(ج_ح_خرداد16[[#This Row],[دستمزد روزانه ]]/7.33)*1.4*ج_ح_خرداد16[[#This Row],[مدت اضافه کاری ]]</f>
        <v>0</v>
      </c>
      <c r="K83" s="46" t="str">
        <f>IF(ج_ح_خرداد16[[#This Row],[کارکرد]]="","",ج_ح_خرداد16[[#This Row],[کارکرد]]*حق_مسکن/30)</f>
        <v/>
      </c>
      <c r="L83" s="49"/>
      <c r="M83" s="46" t="str">
        <f>IF(ج_ح_خرداد16[[#This Row],[تعداد فرزندان]]="","",ج_ح_خرداد16[[#This Row],[کارکرد]]/31*3*ج_ح_خرداد16[[#This Row],[تعداد فرزندان]]*حداقل_حقوق_پایه_روزانه)</f>
        <v/>
      </c>
      <c r="N83" s="46" t="str">
        <f>IF(ج_ح_خرداد16[[#This Row],[کارکرد]]="","",ج_ح_خرداد16[[#This Row],[کارکرد]]*حق_خواربار/30)</f>
        <v/>
      </c>
      <c r="O83" s="46" t="str">
        <f>IFERROR(ج_ح_خرداد16[[#This Row],[حقوق پایه]]+ج_ح_خرداد16[[#This Row],[اضافه کاری]]+ج_ح_خرداد16[[#This Row],[حق مسکن]]+ج_ح_خرداد16[[#This Row],[حق اولاد]]+ج_ح_خرداد16[[#This Row],[حق و خواروبار]],"")</f>
        <v/>
      </c>
      <c r="P83"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83" s="46" t="str">
        <f>IFERROR(ج_ح_خرداد16[[#This Row],[حقوق پایه]]+ج_ح_خرداد16[[#This Row],[اضافه کاری]]-(2/7)*ج_ح_خرداد16[[#This Row],[بیمه پرداختنی]],"")</f>
        <v/>
      </c>
      <c r="R83" s="45"/>
      <c r="S83" s="45"/>
      <c r="T83" s="46" t="str">
        <f>IFERROR(ج_ح_خرداد16[[#This Row],[جمع ح و م م بیمه ]]*7%,"")</f>
        <v/>
      </c>
      <c r="U83"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83" s="46" t="str">
        <f>IFERROR(ج_ح_خرداد16[[#This Row],[وام]]+ج_ح_خرداد16[[#This Row],[مساعده]]+ج_ح_خرداد16[[#This Row],[بیمه پرداختنی]]+ج_ح_خرداد16[[#This Row],[مالیات پرداختنی]],"")</f>
        <v/>
      </c>
      <c r="W83" s="46" t="str">
        <f>IFERROR(ج_ح_خرداد16[[#This Row],[جمع ح و م]]-ج_ح_خرداد16[[#This Row],[جمع کسورات]],"")</f>
        <v/>
      </c>
    </row>
    <row r="84" spans="2:23" s="41" customFormat="1" ht="32.1" customHeight="1">
      <c r="B84" s="41">
        <f t="shared" si="1"/>
        <v>3</v>
      </c>
      <c r="C84" s="42" t="str">
        <f>IF(ج_ح_خرداد16[[#This Row],[نام]]&lt;&gt;"",ROW()-81+1,"")</f>
        <v/>
      </c>
      <c r="D84" s="43"/>
      <c r="E84" s="43"/>
      <c r="F84" s="44"/>
      <c r="G84" s="45"/>
      <c r="H84" s="46" t="str">
        <f>IF(ج_ح_خرداد16[[#This Row],[کارکرد]]*ج_ح_خرداد16[[#This Row],[دستمزد روزانه ]]=0,"",ج_ح_خرداد16[[#This Row],[کارکرد]]*ج_ح_خرداد16[[#This Row],[دستمزد روزانه ]])</f>
        <v/>
      </c>
      <c r="I84" s="47"/>
      <c r="J84" s="48">
        <f>(ج_ح_خرداد16[[#This Row],[دستمزد روزانه ]]/7.33)*1.4*ج_ح_خرداد16[[#This Row],[مدت اضافه کاری ]]</f>
        <v>0</v>
      </c>
      <c r="K84" s="46" t="str">
        <f>IF(ج_ح_خرداد16[[#This Row],[کارکرد]]="","",ج_ح_خرداد16[[#This Row],[کارکرد]]*حق_مسکن/30)</f>
        <v/>
      </c>
      <c r="L84" s="49"/>
      <c r="M84" s="46" t="str">
        <f>IF(ج_ح_خرداد16[[#This Row],[تعداد فرزندان]]="","",ج_ح_خرداد16[[#This Row],[کارکرد]]/31*3*ج_ح_خرداد16[[#This Row],[تعداد فرزندان]]*حداقل_حقوق_پایه_روزانه)</f>
        <v/>
      </c>
      <c r="N84" s="46" t="str">
        <f>IF(ج_ح_خرداد16[[#This Row],[کارکرد]]="","",ج_ح_خرداد16[[#This Row],[کارکرد]]*حق_خواربار/30)</f>
        <v/>
      </c>
      <c r="O84" s="46" t="str">
        <f>IFERROR(ج_ح_خرداد16[[#This Row],[حقوق پایه]]+ج_ح_خرداد16[[#This Row],[اضافه کاری]]+ج_ح_خرداد16[[#This Row],[حق مسکن]]+ج_ح_خرداد16[[#This Row],[حق اولاد]]+ج_ح_خرداد16[[#This Row],[حق و خواروبار]],"")</f>
        <v/>
      </c>
      <c r="P84"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84" s="46" t="str">
        <f>IFERROR(ج_ح_خرداد16[[#This Row],[حقوق پایه]]+ج_ح_خرداد16[[#This Row],[اضافه کاری]]-(2/7)*ج_ح_خرداد16[[#This Row],[بیمه پرداختنی]],"")</f>
        <v/>
      </c>
      <c r="R84" s="45"/>
      <c r="S84" s="45"/>
      <c r="T84" s="46" t="str">
        <f>IFERROR(ج_ح_خرداد16[[#This Row],[جمع ح و م م بیمه ]]*7%,"")</f>
        <v/>
      </c>
      <c r="U84"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84" s="46" t="str">
        <f>IFERROR(ج_ح_خرداد16[[#This Row],[وام]]+ج_ح_خرداد16[[#This Row],[مساعده]]+ج_ح_خرداد16[[#This Row],[بیمه پرداختنی]]+ج_ح_خرداد16[[#This Row],[مالیات پرداختنی]],"")</f>
        <v/>
      </c>
      <c r="W84" s="46" t="str">
        <f>IFERROR(ج_ح_خرداد16[[#This Row],[جمع ح و م]]-ج_ح_خرداد16[[#This Row],[جمع کسورات]],"")</f>
        <v/>
      </c>
    </row>
    <row r="85" spans="2:23" s="41" customFormat="1" ht="32.1" customHeight="1">
      <c r="B85" s="41">
        <f t="shared" si="1"/>
        <v>3</v>
      </c>
      <c r="C85" s="42" t="str">
        <f>IF(ج_ح_خرداد16[[#This Row],[نام]]&lt;&gt;"",ROW()-81+1,"")</f>
        <v/>
      </c>
      <c r="D85" s="43"/>
      <c r="E85" s="43"/>
      <c r="F85" s="44"/>
      <c r="G85" s="45"/>
      <c r="H85" s="46" t="str">
        <f>IF(ج_ح_خرداد16[[#This Row],[کارکرد]]*ج_ح_خرداد16[[#This Row],[دستمزد روزانه ]]=0,"",ج_ح_خرداد16[[#This Row],[کارکرد]]*ج_ح_خرداد16[[#This Row],[دستمزد روزانه ]])</f>
        <v/>
      </c>
      <c r="I85" s="47"/>
      <c r="J85" s="48">
        <f>(ج_ح_خرداد16[[#This Row],[دستمزد روزانه ]]/7.33)*1.4*ج_ح_خرداد16[[#This Row],[مدت اضافه کاری ]]</f>
        <v>0</v>
      </c>
      <c r="K85" s="46" t="str">
        <f>IF(ج_ح_خرداد16[[#This Row],[کارکرد]]="","",ج_ح_خرداد16[[#This Row],[کارکرد]]*حق_مسکن/30)</f>
        <v/>
      </c>
      <c r="L85" s="49"/>
      <c r="M85" s="46" t="str">
        <f>IF(ج_ح_خرداد16[[#This Row],[تعداد فرزندان]]="","",ج_ح_خرداد16[[#This Row],[کارکرد]]/31*3*ج_ح_خرداد16[[#This Row],[تعداد فرزندان]]*حداقل_حقوق_پایه_روزانه)</f>
        <v/>
      </c>
      <c r="N85" s="46" t="str">
        <f>IF(ج_ح_خرداد16[[#This Row],[کارکرد]]="","",ج_ح_خرداد16[[#This Row],[کارکرد]]*حق_خواربار/30)</f>
        <v/>
      </c>
      <c r="O85" s="46" t="str">
        <f>IFERROR(ج_ح_خرداد16[[#This Row],[حقوق پایه]]+ج_ح_خرداد16[[#This Row],[اضافه کاری]]+ج_ح_خرداد16[[#This Row],[حق مسکن]]+ج_ح_خرداد16[[#This Row],[حق اولاد]]+ج_ح_خرداد16[[#This Row],[حق و خواروبار]],"")</f>
        <v/>
      </c>
      <c r="P85"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85" s="46" t="str">
        <f>IFERROR(ج_ح_خرداد16[[#This Row],[حقوق پایه]]+ج_ح_خرداد16[[#This Row],[اضافه کاری]]-(2/7)*ج_ح_خرداد16[[#This Row],[بیمه پرداختنی]],"")</f>
        <v/>
      </c>
      <c r="R85" s="45"/>
      <c r="S85" s="45"/>
      <c r="T85" s="46" t="str">
        <f>IFERROR(ج_ح_خرداد16[[#This Row],[جمع ح و م م بیمه ]]*7%,"")</f>
        <v/>
      </c>
      <c r="U85"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85" s="46" t="str">
        <f>IFERROR(ج_ح_خرداد16[[#This Row],[وام]]+ج_ح_خرداد16[[#This Row],[مساعده]]+ج_ح_خرداد16[[#This Row],[بیمه پرداختنی]]+ج_ح_خرداد16[[#This Row],[مالیات پرداختنی]],"")</f>
        <v/>
      </c>
      <c r="W85" s="46" t="str">
        <f>IFERROR(ج_ح_خرداد16[[#This Row],[جمع ح و م]]-ج_ح_خرداد16[[#This Row],[جمع کسورات]],"")</f>
        <v/>
      </c>
    </row>
    <row r="86" spans="2:23" s="41" customFormat="1" ht="32.1" customHeight="1">
      <c r="B86" s="41">
        <f t="shared" si="1"/>
        <v>3</v>
      </c>
      <c r="C86" s="42" t="str">
        <f>IF(ج_ح_خرداد16[[#This Row],[نام]]&lt;&gt;"",ROW()-81+1,"")</f>
        <v/>
      </c>
      <c r="D86" s="43"/>
      <c r="E86" s="43"/>
      <c r="F86" s="44"/>
      <c r="G86" s="45"/>
      <c r="H86" s="46" t="str">
        <f>IF(ج_ح_خرداد16[[#This Row],[کارکرد]]*ج_ح_خرداد16[[#This Row],[دستمزد روزانه ]]=0,"",ج_ح_خرداد16[[#This Row],[کارکرد]]*ج_ح_خرداد16[[#This Row],[دستمزد روزانه ]])</f>
        <v/>
      </c>
      <c r="I86" s="47"/>
      <c r="J86" s="48">
        <f>(ج_ح_خرداد16[[#This Row],[دستمزد روزانه ]]/7.33)*1.4*ج_ح_خرداد16[[#This Row],[مدت اضافه کاری ]]</f>
        <v>0</v>
      </c>
      <c r="K86" s="46" t="str">
        <f>IF(ج_ح_خرداد16[[#This Row],[کارکرد]]="","",ج_ح_خرداد16[[#This Row],[کارکرد]]*حق_مسکن/30)</f>
        <v/>
      </c>
      <c r="L86" s="49"/>
      <c r="M86" s="46" t="str">
        <f>IF(ج_ح_خرداد16[[#This Row],[تعداد فرزندان]]="","",ج_ح_خرداد16[[#This Row],[کارکرد]]/31*3*ج_ح_خرداد16[[#This Row],[تعداد فرزندان]]*حداقل_حقوق_پایه_روزانه)</f>
        <v/>
      </c>
      <c r="N86" s="46" t="str">
        <f>IF(ج_ح_خرداد16[[#This Row],[کارکرد]]="","",ج_ح_خرداد16[[#This Row],[کارکرد]]*حق_خواربار/30)</f>
        <v/>
      </c>
      <c r="O86" s="46" t="str">
        <f>IFERROR(ج_ح_خرداد16[[#This Row],[حقوق پایه]]+ج_ح_خرداد16[[#This Row],[اضافه کاری]]+ج_ح_خرداد16[[#This Row],[حق مسکن]]+ج_ح_خرداد16[[#This Row],[حق اولاد]]+ج_ح_خرداد16[[#This Row],[حق و خواروبار]],"")</f>
        <v/>
      </c>
      <c r="P86"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86" s="46" t="str">
        <f>IFERROR(ج_ح_خرداد16[[#This Row],[حقوق پایه]]+ج_ح_خرداد16[[#This Row],[اضافه کاری]]-(2/7)*ج_ح_خرداد16[[#This Row],[بیمه پرداختنی]],"")</f>
        <v/>
      </c>
      <c r="R86" s="45"/>
      <c r="S86" s="45"/>
      <c r="T86" s="46" t="str">
        <f>IFERROR(ج_ح_خرداد16[[#This Row],[جمع ح و م م بیمه ]]*7%,"")</f>
        <v/>
      </c>
      <c r="U86"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86" s="46" t="str">
        <f>IFERROR(ج_ح_خرداد16[[#This Row],[وام]]+ج_ح_خرداد16[[#This Row],[مساعده]]+ج_ح_خرداد16[[#This Row],[بیمه پرداختنی]]+ج_ح_خرداد16[[#This Row],[مالیات پرداختنی]],"")</f>
        <v/>
      </c>
      <c r="W86" s="46" t="str">
        <f>IFERROR(ج_ح_خرداد16[[#This Row],[جمع ح و م]]-ج_ح_خرداد16[[#This Row],[جمع کسورات]],"")</f>
        <v/>
      </c>
    </row>
    <row r="87" spans="2:23" s="41" customFormat="1" ht="32.1" customHeight="1">
      <c r="B87" s="41">
        <f t="shared" si="1"/>
        <v>3</v>
      </c>
      <c r="C87" s="42" t="str">
        <f>IF(ج_ح_خرداد16[[#This Row],[نام]]&lt;&gt;"",ROW()-81+1,"")</f>
        <v/>
      </c>
      <c r="D87" s="43"/>
      <c r="E87" s="43"/>
      <c r="F87" s="44"/>
      <c r="G87" s="45"/>
      <c r="H87" s="46" t="str">
        <f>IF(ج_ح_خرداد16[[#This Row],[کارکرد]]*ج_ح_خرداد16[[#This Row],[دستمزد روزانه ]]=0,"",ج_ح_خرداد16[[#This Row],[کارکرد]]*ج_ح_خرداد16[[#This Row],[دستمزد روزانه ]])</f>
        <v/>
      </c>
      <c r="I87" s="47"/>
      <c r="J87" s="48">
        <f>(ج_ح_خرداد16[[#This Row],[دستمزد روزانه ]]/7.33)*1.4*ج_ح_خرداد16[[#This Row],[مدت اضافه کاری ]]</f>
        <v>0</v>
      </c>
      <c r="K87" s="46" t="str">
        <f>IF(ج_ح_خرداد16[[#This Row],[کارکرد]]="","",ج_ح_خرداد16[[#This Row],[کارکرد]]*حق_مسکن/30)</f>
        <v/>
      </c>
      <c r="L87" s="49"/>
      <c r="M87" s="46" t="str">
        <f>IF(ج_ح_خرداد16[[#This Row],[تعداد فرزندان]]="","",ج_ح_خرداد16[[#This Row],[کارکرد]]/31*3*ج_ح_خرداد16[[#This Row],[تعداد فرزندان]]*حداقل_حقوق_پایه_روزانه)</f>
        <v/>
      </c>
      <c r="N87" s="46" t="str">
        <f>IF(ج_ح_خرداد16[[#This Row],[کارکرد]]="","",ج_ح_خرداد16[[#This Row],[کارکرد]]*حق_خواربار/30)</f>
        <v/>
      </c>
      <c r="O87" s="46" t="str">
        <f>IFERROR(ج_ح_خرداد16[[#This Row],[حقوق پایه]]+ج_ح_خرداد16[[#This Row],[اضافه کاری]]+ج_ح_خرداد16[[#This Row],[حق مسکن]]+ج_ح_خرداد16[[#This Row],[حق اولاد]]+ج_ح_خرداد16[[#This Row],[حق و خواروبار]],"")</f>
        <v/>
      </c>
      <c r="P87"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87" s="46" t="str">
        <f>IFERROR(ج_ح_خرداد16[[#This Row],[حقوق پایه]]+ج_ح_خرداد16[[#This Row],[اضافه کاری]]-(2/7)*ج_ح_خرداد16[[#This Row],[بیمه پرداختنی]],"")</f>
        <v/>
      </c>
      <c r="R87" s="45"/>
      <c r="S87" s="45"/>
      <c r="T87" s="46" t="str">
        <f>IFERROR(ج_ح_خرداد16[[#This Row],[جمع ح و م م بیمه ]]*7%,"")</f>
        <v/>
      </c>
      <c r="U87"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87" s="46" t="str">
        <f>IFERROR(ج_ح_خرداد16[[#This Row],[وام]]+ج_ح_خرداد16[[#This Row],[مساعده]]+ج_ح_خرداد16[[#This Row],[بیمه پرداختنی]]+ج_ح_خرداد16[[#This Row],[مالیات پرداختنی]],"")</f>
        <v/>
      </c>
      <c r="W87" s="46" t="str">
        <f>IFERROR(ج_ح_خرداد16[[#This Row],[جمع ح و م]]-ج_ح_خرداد16[[#This Row],[جمع کسورات]],"")</f>
        <v/>
      </c>
    </row>
    <row r="88" spans="2:23" s="41" customFormat="1" ht="32.1" customHeight="1">
      <c r="B88" s="41">
        <f t="shared" si="1"/>
        <v>3</v>
      </c>
      <c r="C88" s="42" t="str">
        <f>IF(ج_ح_خرداد16[[#This Row],[نام]]&lt;&gt;"",ROW()-81+1,"")</f>
        <v/>
      </c>
      <c r="D88" s="43"/>
      <c r="E88" s="43"/>
      <c r="F88" s="44"/>
      <c r="G88" s="45"/>
      <c r="H88" s="46" t="str">
        <f>IF(ج_ح_خرداد16[[#This Row],[کارکرد]]*ج_ح_خرداد16[[#This Row],[دستمزد روزانه ]]=0,"",ج_ح_خرداد16[[#This Row],[کارکرد]]*ج_ح_خرداد16[[#This Row],[دستمزد روزانه ]])</f>
        <v/>
      </c>
      <c r="I88" s="47"/>
      <c r="J88" s="48">
        <f>(ج_ح_خرداد16[[#This Row],[دستمزد روزانه ]]/7.33)*1.4*ج_ح_خرداد16[[#This Row],[مدت اضافه کاری ]]</f>
        <v>0</v>
      </c>
      <c r="K88" s="46" t="str">
        <f>IF(ج_ح_خرداد16[[#This Row],[کارکرد]]="","",ج_ح_خرداد16[[#This Row],[کارکرد]]*حق_مسکن/30)</f>
        <v/>
      </c>
      <c r="L88" s="49"/>
      <c r="M88" s="46" t="str">
        <f>IF(ج_ح_خرداد16[[#This Row],[تعداد فرزندان]]="","",ج_ح_خرداد16[[#This Row],[کارکرد]]/31*3*ج_ح_خرداد16[[#This Row],[تعداد فرزندان]]*حداقل_حقوق_پایه_روزانه)</f>
        <v/>
      </c>
      <c r="N88" s="46" t="str">
        <f>IF(ج_ح_خرداد16[[#This Row],[کارکرد]]="","",ج_ح_خرداد16[[#This Row],[کارکرد]]*حق_خواربار/30)</f>
        <v/>
      </c>
      <c r="O88" s="46" t="str">
        <f>IFERROR(ج_ح_خرداد16[[#This Row],[حقوق پایه]]+ج_ح_خرداد16[[#This Row],[اضافه کاری]]+ج_ح_خرداد16[[#This Row],[حق مسکن]]+ج_ح_خرداد16[[#This Row],[حق اولاد]]+ج_ح_خرداد16[[#This Row],[حق و خواروبار]],"")</f>
        <v/>
      </c>
      <c r="P88"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88" s="46" t="str">
        <f>IFERROR(ج_ح_خرداد16[[#This Row],[حقوق پایه]]+ج_ح_خرداد16[[#This Row],[اضافه کاری]]-(2/7)*ج_ح_خرداد16[[#This Row],[بیمه پرداختنی]],"")</f>
        <v/>
      </c>
      <c r="R88" s="45"/>
      <c r="S88" s="45"/>
      <c r="T88" s="46" t="str">
        <f>IFERROR(ج_ح_خرداد16[[#This Row],[جمع ح و م م بیمه ]]*7%,"")</f>
        <v/>
      </c>
      <c r="U88"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88" s="46" t="str">
        <f>IFERROR(ج_ح_خرداد16[[#This Row],[وام]]+ج_ح_خرداد16[[#This Row],[مساعده]]+ج_ح_خرداد16[[#This Row],[بیمه پرداختنی]]+ج_ح_خرداد16[[#This Row],[مالیات پرداختنی]],"")</f>
        <v/>
      </c>
      <c r="W88" s="46" t="str">
        <f>IFERROR(ج_ح_خرداد16[[#This Row],[جمع ح و م]]-ج_ح_خرداد16[[#This Row],[جمع کسورات]],"")</f>
        <v/>
      </c>
    </row>
    <row r="89" spans="2:23" s="41" customFormat="1" ht="32.1" customHeight="1">
      <c r="B89" s="41">
        <f t="shared" si="1"/>
        <v>3</v>
      </c>
      <c r="C89" s="42" t="str">
        <f>IF(ج_ح_خرداد16[[#This Row],[نام]]&lt;&gt;"",ROW()-81+1,"")</f>
        <v/>
      </c>
      <c r="D89" s="43"/>
      <c r="E89" s="43"/>
      <c r="F89" s="44"/>
      <c r="G89" s="45"/>
      <c r="H89" s="46" t="str">
        <f>IF(ج_ح_خرداد16[[#This Row],[کارکرد]]*ج_ح_خرداد16[[#This Row],[دستمزد روزانه ]]=0,"",ج_ح_خرداد16[[#This Row],[کارکرد]]*ج_ح_خرداد16[[#This Row],[دستمزد روزانه ]])</f>
        <v/>
      </c>
      <c r="I89" s="47"/>
      <c r="J89" s="48">
        <f>(ج_ح_خرداد16[[#This Row],[دستمزد روزانه ]]/7.33)*1.4*ج_ح_خرداد16[[#This Row],[مدت اضافه کاری ]]</f>
        <v>0</v>
      </c>
      <c r="K89" s="46" t="str">
        <f>IF(ج_ح_خرداد16[[#This Row],[کارکرد]]="","",ج_ح_خرداد16[[#This Row],[کارکرد]]*حق_مسکن/30)</f>
        <v/>
      </c>
      <c r="L89" s="49"/>
      <c r="M89" s="46" t="str">
        <f>IF(ج_ح_خرداد16[[#This Row],[تعداد فرزندان]]="","",ج_ح_خرداد16[[#This Row],[کارکرد]]/31*3*ج_ح_خرداد16[[#This Row],[تعداد فرزندان]]*حداقل_حقوق_پایه_روزانه)</f>
        <v/>
      </c>
      <c r="N89" s="46" t="str">
        <f>IF(ج_ح_خرداد16[[#This Row],[کارکرد]]="","",ج_ح_خرداد16[[#This Row],[کارکرد]]*حق_خواربار/30)</f>
        <v/>
      </c>
      <c r="O89" s="46" t="str">
        <f>IFERROR(ج_ح_خرداد16[[#This Row],[حقوق پایه]]+ج_ح_خرداد16[[#This Row],[اضافه کاری]]+ج_ح_خرداد16[[#This Row],[حق مسکن]]+ج_ح_خرداد16[[#This Row],[حق اولاد]]+ج_ح_خرداد16[[#This Row],[حق و خواروبار]],"")</f>
        <v/>
      </c>
      <c r="P89"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89" s="46" t="str">
        <f>IFERROR(ج_ح_خرداد16[[#This Row],[حقوق پایه]]+ج_ح_خرداد16[[#This Row],[اضافه کاری]]-(2/7)*ج_ح_خرداد16[[#This Row],[بیمه پرداختنی]],"")</f>
        <v/>
      </c>
      <c r="R89" s="45"/>
      <c r="S89" s="45"/>
      <c r="T89" s="46" t="str">
        <f>IFERROR(ج_ح_خرداد16[[#This Row],[جمع ح و م م بیمه ]]*7%,"")</f>
        <v/>
      </c>
      <c r="U89"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89" s="46" t="str">
        <f>IFERROR(ج_ح_خرداد16[[#This Row],[وام]]+ج_ح_خرداد16[[#This Row],[مساعده]]+ج_ح_خرداد16[[#This Row],[بیمه پرداختنی]]+ج_ح_خرداد16[[#This Row],[مالیات پرداختنی]],"")</f>
        <v/>
      </c>
      <c r="W89" s="46" t="str">
        <f>IFERROR(ج_ح_خرداد16[[#This Row],[جمع ح و م]]-ج_ح_خرداد16[[#This Row],[جمع کسورات]],"")</f>
        <v/>
      </c>
    </row>
    <row r="90" spans="2:23" s="41" customFormat="1" ht="32.1" customHeight="1">
      <c r="B90" s="41">
        <f t="shared" si="1"/>
        <v>3</v>
      </c>
      <c r="C90" s="42" t="str">
        <f>IF(ج_ح_خرداد16[[#This Row],[نام]]&lt;&gt;"",ROW()-81+1,"")</f>
        <v/>
      </c>
      <c r="D90" s="43"/>
      <c r="E90" s="43"/>
      <c r="F90" s="44"/>
      <c r="G90" s="45"/>
      <c r="H90" s="46" t="str">
        <f>IF(ج_ح_خرداد16[[#This Row],[کارکرد]]*ج_ح_خرداد16[[#This Row],[دستمزد روزانه ]]=0,"",ج_ح_خرداد16[[#This Row],[کارکرد]]*ج_ح_خرداد16[[#This Row],[دستمزد روزانه ]])</f>
        <v/>
      </c>
      <c r="I90" s="47"/>
      <c r="J90" s="48">
        <f>(ج_ح_خرداد16[[#This Row],[دستمزد روزانه ]]/7.33)*1.4*ج_ح_خرداد16[[#This Row],[مدت اضافه کاری ]]</f>
        <v>0</v>
      </c>
      <c r="K90" s="46" t="str">
        <f>IF(ج_ح_خرداد16[[#This Row],[کارکرد]]="","",ج_ح_خرداد16[[#This Row],[کارکرد]]*حق_مسکن/30)</f>
        <v/>
      </c>
      <c r="L90" s="49"/>
      <c r="M90" s="46" t="str">
        <f>IF(ج_ح_خرداد16[[#This Row],[تعداد فرزندان]]="","",ج_ح_خرداد16[[#This Row],[کارکرد]]/31*3*ج_ح_خرداد16[[#This Row],[تعداد فرزندان]]*حداقل_حقوق_پایه_روزانه)</f>
        <v/>
      </c>
      <c r="N90" s="46" t="str">
        <f>IF(ج_ح_خرداد16[[#This Row],[کارکرد]]="","",ج_ح_خرداد16[[#This Row],[کارکرد]]*حق_خواربار/30)</f>
        <v/>
      </c>
      <c r="O90" s="46" t="str">
        <f>IFERROR(ج_ح_خرداد16[[#This Row],[حقوق پایه]]+ج_ح_خرداد16[[#This Row],[اضافه کاری]]+ج_ح_خرداد16[[#This Row],[حق مسکن]]+ج_ح_خرداد16[[#This Row],[حق اولاد]]+ج_ح_خرداد16[[#This Row],[حق و خواروبار]],"")</f>
        <v/>
      </c>
      <c r="P90"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90" s="46" t="str">
        <f>IFERROR(ج_ح_خرداد16[[#This Row],[حقوق پایه]]+ج_ح_خرداد16[[#This Row],[اضافه کاری]]-(2/7)*ج_ح_خرداد16[[#This Row],[بیمه پرداختنی]],"")</f>
        <v/>
      </c>
      <c r="R90" s="45"/>
      <c r="S90" s="45"/>
      <c r="T90" s="46" t="str">
        <f>IFERROR(ج_ح_خرداد16[[#This Row],[جمع ح و م م بیمه ]]*7%,"")</f>
        <v/>
      </c>
      <c r="U90"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90" s="46" t="str">
        <f>IFERROR(ج_ح_خرداد16[[#This Row],[وام]]+ج_ح_خرداد16[[#This Row],[مساعده]]+ج_ح_خرداد16[[#This Row],[بیمه پرداختنی]]+ج_ح_خرداد16[[#This Row],[مالیات پرداختنی]],"")</f>
        <v/>
      </c>
      <c r="W90" s="46" t="str">
        <f>IFERROR(ج_ح_خرداد16[[#This Row],[جمع ح و م]]-ج_ح_خرداد16[[#This Row],[جمع کسورات]],"")</f>
        <v/>
      </c>
    </row>
    <row r="91" spans="2:23" s="41" customFormat="1" ht="32.1" customHeight="1">
      <c r="B91" s="41">
        <f t="shared" si="1"/>
        <v>3</v>
      </c>
      <c r="C91" s="42" t="str">
        <f>IF(ج_ح_خرداد16[[#This Row],[نام]]&lt;&gt;"",ROW()-81+1,"")</f>
        <v/>
      </c>
      <c r="D91" s="43"/>
      <c r="E91" s="43"/>
      <c r="F91" s="44"/>
      <c r="G91" s="45"/>
      <c r="H91" s="46" t="str">
        <f>IF(ج_ح_خرداد16[[#This Row],[کارکرد]]*ج_ح_خرداد16[[#This Row],[دستمزد روزانه ]]=0,"",ج_ح_خرداد16[[#This Row],[کارکرد]]*ج_ح_خرداد16[[#This Row],[دستمزد روزانه ]])</f>
        <v/>
      </c>
      <c r="I91" s="47"/>
      <c r="J91" s="48">
        <f>(ج_ح_خرداد16[[#This Row],[دستمزد روزانه ]]/7.33)*1.4*ج_ح_خرداد16[[#This Row],[مدت اضافه کاری ]]</f>
        <v>0</v>
      </c>
      <c r="K91" s="46" t="str">
        <f>IF(ج_ح_خرداد16[[#This Row],[کارکرد]]="","",ج_ح_خرداد16[[#This Row],[کارکرد]]*حق_مسکن/30)</f>
        <v/>
      </c>
      <c r="L91" s="49"/>
      <c r="M91" s="46" t="str">
        <f>IF(ج_ح_خرداد16[[#This Row],[تعداد فرزندان]]="","",ج_ح_خرداد16[[#This Row],[کارکرد]]/31*3*ج_ح_خرداد16[[#This Row],[تعداد فرزندان]]*حداقل_حقوق_پایه_روزانه)</f>
        <v/>
      </c>
      <c r="N91" s="46" t="str">
        <f>IF(ج_ح_خرداد16[[#This Row],[کارکرد]]="","",ج_ح_خرداد16[[#This Row],[کارکرد]]*حق_خواربار/30)</f>
        <v/>
      </c>
      <c r="O91" s="46" t="str">
        <f>IFERROR(ج_ح_خرداد16[[#This Row],[حقوق پایه]]+ج_ح_خرداد16[[#This Row],[اضافه کاری]]+ج_ح_خرداد16[[#This Row],[حق مسکن]]+ج_ح_خرداد16[[#This Row],[حق اولاد]]+ج_ح_خرداد16[[#This Row],[حق و خواروبار]],"")</f>
        <v/>
      </c>
      <c r="P91"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91" s="46" t="str">
        <f>IFERROR(ج_ح_خرداد16[[#This Row],[حقوق پایه]]+ج_ح_خرداد16[[#This Row],[اضافه کاری]]-(2/7)*ج_ح_خرداد16[[#This Row],[بیمه پرداختنی]],"")</f>
        <v/>
      </c>
      <c r="R91" s="45"/>
      <c r="S91" s="45"/>
      <c r="T91" s="46" t="str">
        <f>IFERROR(ج_ح_خرداد16[[#This Row],[جمع ح و م م بیمه ]]*7%,"")</f>
        <v/>
      </c>
      <c r="U91"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91" s="46" t="str">
        <f>IFERROR(ج_ح_خرداد16[[#This Row],[وام]]+ج_ح_خرداد16[[#This Row],[مساعده]]+ج_ح_خرداد16[[#This Row],[بیمه پرداختنی]]+ج_ح_خرداد16[[#This Row],[مالیات پرداختنی]],"")</f>
        <v/>
      </c>
      <c r="W91" s="46" t="str">
        <f>IFERROR(ج_ح_خرداد16[[#This Row],[جمع ح و م]]-ج_ح_خرداد16[[#This Row],[جمع کسورات]],"")</f>
        <v/>
      </c>
    </row>
    <row r="92" spans="2:23" s="41" customFormat="1" ht="32.1" customHeight="1">
      <c r="B92" s="41">
        <f t="shared" si="1"/>
        <v>3</v>
      </c>
      <c r="C92" s="42" t="str">
        <f>IF(ج_ح_خرداد16[[#This Row],[نام]]&lt;&gt;"",ROW()-81+1,"")</f>
        <v/>
      </c>
      <c r="D92" s="43"/>
      <c r="E92" s="43"/>
      <c r="F92" s="44"/>
      <c r="G92" s="45"/>
      <c r="H92" s="46" t="str">
        <f>IF(ج_ح_خرداد16[[#This Row],[کارکرد]]*ج_ح_خرداد16[[#This Row],[دستمزد روزانه ]]=0,"",ج_ح_خرداد16[[#This Row],[کارکرد]]*ج_ح_خرداد16[[#This Row],[دستمزد روزانه ]])</f>
        <v/>
      </c>
      <c r="I92" s="47"/>
      <c r="J92" s="48">
        <f>(ج_ح_خرداد16[[#This Row],[دستمزد روزانه ]]/7.33)*1.4*ج_ح_خرداد16[[#This Row],[مدت اضافه کاری ]]</f>
        <v>0</v>
      </c>
      <c r="K92" s="46" t="str">
        <f>IF(ج_ح_خرداد16[[#This Row],[کارکرد]]="","",ج_ح_خرداد16[[#This Row],[کارکرد]]*حق_مسکن/30)</f>
        <v/>
      </c>
      <c r="L92" s="49"/>
      <c r="M92" s="46" t="str">
        <f>IF(ج_ح_خرداد16[[#This Row],[تعداد فرزندان]]="","",ج_ح_خرداد16[[#This Row],[کارکرد]]/31*3*ج_ح_خرداد16[[#This Row],[تعداد فرزندان]]*حداقل_حقوق_پایه_روزانه)</f>
        <v/>
      </c>
      <c r="N92" s="46" t="str">
        <f>IF(ج_ح_خرداد16[[#This Row],[کارکرد]]="","",ج_ح_خرداد16[[#This Row],[کارکرد]]*حق_خواربار/30)</f>
        <v/>
      </c>
      <c r="O92" s="46" t="str">
        <f>IFERROR(ج_ح_خرداد16[[#This Row],[حقوق پایه]]+ج_ح_خرداد16[[#This Row],[اضافه کاری]]+ج_ح_خرداد16[[#This Row],[حق مسکن]]+ج_ح_خرداد16[[#This Row],[حق اولاد]]+ج_ح_خرداد16[[#This Row],[حق و خواروبار]],"")</f>
        <v/>
      </c>
      <c r="P92"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92" s="46" t="str">
        <f>IFERROR(ج_ح_خرداد16[[#This Row],[حقوق پایه]]+ج_ح_خرداد16[[#This Row],[اضافه کاری]]-(2/7)*ج_ح_خرداد16[[#This Row],[بیمه پرداختنی]],"")</f>
        <v/>
      </c>
      <c r="R92" s="45"/>
      <c r="S92" s="45"/>
      <c r="T92" s="46" t="str">
        <f>IFERROR(ج_ح_خرداد16[[#This Row],[جمع ح و م م بیمه ]]*7%,"")</f>
        <v/>
      </c>
      <c r="U92"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92" s="46" t="str">
        <f>IFERROR(ج_ح_خرداد16[[#This Row],[وام]]+ج_ح_خرداد16[[#This Row],[مساعده]]+ج_ح_خرداد16[[#This Row],[بیمه پرداختنی]]+ج_ح_خرداد16[[#This Row],[مالیات پرداختنی]],"")</f>
        <v/>
      </c>
      <c r="W92" s="46" t="str">
        <f>IFERROR(ج_ح_خرداد16[[#This Row],[جمع ح و م]]-ج_ح_خرداد16[[#This Row],[جمع کسورات]],"")</f>
        <v/>
      </c>
    </row>
    <row r="93" spans="2:23" s="41" customFormat="1" ht="32.1" customHeight="1">
      <c r="B93" s="41">
        <f t="shared" si="1"/>
        <v>3</v>
      </c>
      <c r="C93" s="42" t="str">
        <f>IF(ج_ح_خرداد16[[#This Row],[نام]]&lt;&gt;"",ROW()-81+1,"")</f>
        <v/>
      </c>
      <c r="D93" s="43"/>
      <c r="E93" s="43"/>
      <c r="F93" s="44"/>
      <c r="G93" s="45"/>
      <c r="H93" s="46" t="str">
        <f>IF(ج_ح_خرداد16[[#This Row],[کارکرد]]*ج_ح_خرداد16[[#This Row],[دستمزد روزانه ]]=0,"",ج_ح_خرداد16[[#This Row],[کارکرد]]*ج_ح_خرداد16[[#This Row],[دستمزد روزانه ]])</f>
        <v/>
      </c>
      <c r="I93" s="47"/>
      <c r="J93" s="48">
        <f>(ج_ح_خرداد16[[#This Row],[دستمزد روزانه ]]/7.33)*1.4*ج_ح_خرداد16[[#This Row],[مدت اضافه کاری ]]</f>
        <v>0</v>
      </c>
      <c r="K93" s="46" t="str">
        <f>IF(ج_ح_خرداد16[[#This Row],[کارکرد]]="","",ج_ح_خرداد16[[#This Row],[کارکرد]]*حق_مسکن/30)</f>
        <v/>
      </c>
      <c r="L93" s="49"/>
      <c r="M93" s="46" t="str">
        <f>IF(ج_ح_خرداد16[[#This Row],[تعداد فرزندان]]="","",ج_ح_خرداد16[[#This Row],[کارکرد]]/31*3*ج_ح_خرداد16[[#This Row],[تعداد فرزندان]]*حداقل_حقوق_پایه_روزانه)</f>
        <v/>
      </c>
      <c r="N93" s="46" t="str">
        <f>IF(ج_ح_خرداد16[[#This Row],[کارکرد]]="","",ج_ح_خرداد16[[#This Row],[کارکرد]]*حق_خواربار/30)</f>
        <v/>
      </c>
      <c r="O93" s="46" t="str">
        <f>IFERROR(ج_ح_خرداد16[[#This Row],[حقوق پایه]]+ج_ح_خرداد16[[#This Row],[اضافه کاری]]+ج_ح_خرداد16[[#This Row],[حق مسکن]]+ج_ح_خرداد16[[#This Row],[حق اولاد]]+ج_ح_خرداد16[[#This Row],[حق و خواروبار]],"")</f>
        <v/>
      </c>
      <c r="P93"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93" s="46" t="str">
        <f>IFERROR(ج_ح_خرداد16[[#This Row],[حقوق پایه]]+ج_ح_خرداد16[[#This Row],[اضافه کاری]]-(2/7)*ج_ح_خرداد16[[#This Row],[بیمه پرداختنی]],"")</f>
        <v/>
      </c>
      <c r="R93" s="45"/>
      <c r="S93" s="45"/>
      <c r="T93" s="46" t="str">
        <f>IFERROR(ج_ح_خرداد16[[#This Row],[جمع ح و م م بیمه ]]*7%,"")</f>
        <v/>
      </c>
      <c r="U93"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93" s="46" t="str">
        <f>IFERROR(ج_ح_خرداد16[[#This Row],[وام]]+ج_ح_خرداد16[[#This Row],[مساعده]]+ج_ح_خرداد16[[#This Row],[بیمه پرداختنی]]+ج_ح_خرداد16[[#This Row],[مالیات پرداختنی]],"")</f>
        <v/>
      </c>
      <c r="W93" s="46" t="str">
        <f>IFERROR(ج_ح_خرداد16[[#This Row],[جمع ح و م]]-ج_ح_خرداد16[[#This Row],[جمع کسورات]],"")</f>
        <v/>
      </c>
    </row>
    <row r="94" spans="2:23" s="41" customFormat="1" ht="32.1" customHeight="1">
      <c r="B94" s="41">
        <f t="shared" si="1"/>
        <v>3</v>
      </c>
      <c r="C94" s="42" t="str">
        <f>IF(ج_ح_خرداد16[[#This Row],[نام]]&lt;&gt;"",ROW()-81+1,"")</f>
        <v/>
      </c>
      <c r="D94" s="43"/>
      <c r="E94" s="43"/>
      <c r="F94" s="44"/>
      <c r="G94" s="45"/>
      <c r="H94" s="46" t="str">
        <f>IF(ج_ح_خرداد16[[#This Row],[کارکرد]]*ج_ح_خرداد16[[#This Row],[دستمزد روزانه ]]=0,"",ج_ح_خرداد16[[#This Row],[کارکرد]]*ج_ح_خرداد16[[#This Row],[دستمزد روزانه ]])</f>
        <v/>
      </c>
      <c r="I94" s="47"/>
      <c r="J94" s="48">
        <f>(ج_ح_خرداد16[[#This Row],[دستمزد روزانه ]]/7.33)*1.4*ج_ح_خرداد16[[#This Row],[مدت اضافه کاری ]]</f>
        <v>0</v>
      </c>
      <c r="K94" s="46" t="str">
        <f>IF(ج_ح_خرداد16[[#This Row],[کارکرد]]="","",ج_ح_خرداد16[[#This Row],[کارکرد]]*حق_مسکن/30)</f>
        <v/>
      </c>
      <c r="L94" s="49"/>
      <c r="M94" s="46" t="str">
        <f>IF(ج_ح_خرداد16[[#This Row],[تعداد فرزندان]]="","",ج_ح_خرداد16[[#This Row],[کارکرد]]/31*3*ج_ح_خرداد16[[#This Row],[تعداد فرزندان]]*حداقل_حقوق_پایه_روزانه)</f>
        <v/>
      </c>
      <c r="N94" s="46" t="str">
        <f>IF(ج_ح_خرداد16[[#This Row],[کارکرد]]="","",ج_ح_خرداد16[[#This Row],[کارکرد]]*حق_خواربار/30)</f>
        <v/>
      </c>
      <c r="O94" s="46" t="str">
        <f>IFERROR(ج_ح_خرداد16[[#This Row],[حقوق پایه]]+ج_ح_خرداد16[[#This Row],[اضافه کاری]]+ج_ح_خرداد16[[#This Row],[حق مسکن]]+ج_ح_خرداد16[[#This Row],[حق اولاد]]+ج_ح_خرداد16[[#This Row],[حق و خواروبار]],"")</f>
        <v/>
      </c>
      <c r="P94"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94" s="46" t="str">
        <f>IFERROR(ج_ح_خرداد16[[#This Row],[حقوق پایه]]+ج_ح_خرداد16[[#This Row],[اضافه کاری]]-(2/7)*ج_ح_خرداد16[[#This Row],[بیمه پرداختنی]],"")</f>
        <v/>
      </c>
      <c r="R94" s="45"/>
      <c r="S94" s="45"/>
      <c r="T94" s="46" t="str">
        <f>IFERROR(ج_ح_خرداد16[[#This Row],[جمع ح و م م بیمه ]]*7%,"")</f>
        <v/>
      </c>
      <c r="U94"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94" s="46" t="str">
        <f>IFERROR(ج_ح_خرداد16[[#This Row],[وام]]+ج_ح_خرداد16[[#This Row],[مساعده]]+ج_ح_خرداد16[[#This Row],[بیمه پرداختنی]]+ج_ح_خرداد16[[#This Row],[مالیات پرداختنی]],"")</f>
        <v/>
      </c>
      <c r="W94" s="46" t="str">
        <f>IFERROR(ج_ح_خرداد16[[#This Row],[جمع ح و م]]-ج_ح_خرداد16[[#This Row],[جمع کسورات]],"")</f>
        <v/>
      </c>
    </row>
    <row r="95" spans="2:23" s="41" customFormat="1" ht="32.1" customHeight="1">
      <c r="B95" s="41">
        <f t="shared" si="1"/>
        <v>3</v>
      </c>
      <c r="C95" s="42" t="str">
        <f>IF(ج_ح_خرداد16[[#This Row],[نام]]&lt;&gt;"",ROW()-81+1,"")</f>
        <v/>
      </c>
      <c r="D95" s="43"/>
      <c r="E95" s="43"/>
      <c r="F95" s="44"/>
      <c r="G95" s="45"/>
      <c r="H95" s="46" t="str">
        <f>IF(ج_ح_خرداد16[[#This Row],[کارکرد]]*ج_ح_خرداد16[[#This Row],[دستمزد روزانه ]]=0,"",ج_ح_خرداد16[[#This Row],[کارکرد]]*ج_ح_خرداد16[[#This Row],[دستمزد روزانه ]])</f>
        <v/>
      </c>
      <c r="I95" s="47"/>
      <c r="J95" s="48">
        <f>(ج_ح_خرداد16[[#This Row],[دستمزد روزانه ]]/7.33)*1.4*ج_ح_خرداد16[[#This Row],[مدت اضافه کاری ]]</f>
        <v>0</v>
      </c>
      <c r="K95" s="46" t="str">
        <f>IF(ج_ح_خرداد16[[#This Row],[کارکرد]]="","",ج_ح_خرداد16[[#This Row],[کارکرد]]*حق_مسکن/30)</f>
        <v/>
      </c>
      <c r="L95" s="49"/>
      <c r="M95" s="46" t="str">
        <f>IF(ج_ح_خرداد16[[#This Row],[تعداد فرزندان]]="","",ج_ح_خرداد16[[#This Row],[کارکرد]]/31*3*ج_ح_خرداد16[[#This Row],[تعداد فرزندان]]*حداقل_حقوق_پایه_روزانه)</f>
        <v/>
      </c>
      <c r="N95" s="46" t="str">
        <f>IF(ج_ح_خرداد16[[#This Row],[کارکرد]]="","",ج_ح_خرداد16[[#This Row],[کارکرد]]*حق_خواربار/30)</f>
        <v/>
      </c>
      <c r="O95" s="46" t="str">
        <f>IFERROR(ج_ح_خرداد16[[#This Row],[حقوق پایه]]+ج_ح_خرداد16[[#This Row],[اضافه کاری]]+ج_ح_خرداد16[[#This Row],[حق مسکن]]+ج_ح_خرداد16[[#This Row],[حق اولاد]]+ج_ح_خرداد16[[#This Row],[حق و خواروبار]],"")</f>
        <v/>
      </c>
      <c r="P95"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95" s="46" t="str">
        <f>IFERROR(ج_ح_خرداد16[[#This Row],[حقوق پایه]]+ج_ح_خرداد16[[#This Row],[اضافه کاری]]-(2/7)*ج_ح_خرداد16[[#This Row],[بیمه پرداختنی]],"")</f>
        <v/>
      </c>
      <c r="R95" s="45"/>
      <c r="S95" s="45"/>
      <c r="T95" s="46" t="str">
        <f>IFERROR(ج_ح_خرداد16[[#This Row],[جمع ح و م م بیمه ]]*7%,"")</f>
        <v/>
      </c>
      <c r="U95"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95" s="46" t="str">
        <f>IFERROR(ج_ح_خرداد16[[#This Row],[وام]]+ج_ح_خرداد16[[#This Row],[مساعده]]+ج_ح_خرداد16[[#This Row],[بیمه پرداختنی]]+ج_ح_خرداد16[[#This Row],[مالیات پرداختنی]],"")</f>
        <v/>
      </c>
      <c r="W95" s="46" t="str">
        <f>IFERROR(ج_ح_خرداد16[[#This Row],[جمع ح و م]]-ج_ح_خرداد16[[#This Row],[جمع کسورات]],"")</f>
        <v/>
      </c>
    </row>
    <row r="96" spans="2:23" s="41" customFormat="1" ht="32.1" customHeight="1">
      <c r="B96" s="41">
        <f t="shared" si="1"/>
        <v>3</v>
      </c>
      <c r="C96" s="42" t="str">
        <f>IF(ج_ح_خرداد16[[#This Row],[نام]]&lt;&gt;"",ROW()-81+1,"")</f>
        <v/>
      </c>
      <c r="D96" s="43"/>
      <c r="E96" s="43"/>
      <c r="F96" s="44"/>
      <c r="G96" s="45"/>
      <c r="H96" s="46" t="str">
        <f>IF(ج_ح_خرداد16[[#This Row],[کارکرد]]*ج_ح_خرداد16[[#This Row],[دستمزد روزانه ]]=0,"",ج_ح_خرداد16[[#This Row],[کارکرد]]*ج_ح_خرداد16[[#This Row],[دستمزد روزانه ]])</f>
        <v/>
      </c>
      <c r="I96" s="47"/>
      <c r="J96" s="48">
        <f>(ج_ح_خرداد16[[#This Row],[دستمزد روزانه ]]/7.33)*1.4*ج_ح_خرداد16[[#This Row],[مدت اضافه کاری ]]</f>
        <v>0</v>
      </c>
      <c r="K96" s="46" t="str">
        <f>IF(ج_ح_خرداد16[[#This Row],[کارکرد]]="","",ج_ح_خرداد16[[#This Row],[کارکرد]]*حق_مسکن/30)</f>
        <v/>
      </c>
      <c r="L96" s="49"/>
      <c r="M96" s="46" t="str">
        <f>IF(ج_ح_خرداد16[[#This Row],[تعداد فرزندان]]="","",ج_ح_خرداد16[[#This Row],[کارکرد]]/31*3*ج_ح_خرداد16[[#This Row],[تعداد فرزندان]]*حداقل_حقوق_پایه_روزانه)</f>
        <v/>
      </c>
      <c r="N96" s="46" t="str">
        <f>IF(ج_ح_خرداد16[[#This Row],[کارکرد]]="","",ج_ح_خرداد16[[#This Row],[کارکرد]]*حق_خواربار/30)</f>
        <v/>
      </c>
      <c r="O96" s="46" t="str">
        <f>IFERROR(ج_ح_خرداد16[[#This Row],[حقوق پایه]]+ج_ح_خرداد16[[#This Row],[اضافه کاری]]+ج_ح_خرداد16[[#This Row],[حق مسکن]]+ج_ح_خرداد16[[#This Row],[حق اولاد]]+ج_ح_خرداد16[[#This Row],[حق و خواروبار]],"")</f>
        <v/>
      </c>
      <c r="P96"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96" s="46" t="str">
        <f>IFERROR(ج_ح_خرداد16[[#This Row],[حقوق پایه]]+ج_ح_خرداد16[[#This Row],[اضافه کاری]]-(2/7)*ج_ح_خرداد16[[#This Row],[بیمه پرداختنی]],"")</f>
        <v/>
      </c>
      <c r="R96" s="45"/>
      <c r="S96" s="45"/>
      <c r="T96" s="46" t="str">
        <f>IFERROR(ج_ح_خرداد16[[#This Row],[جمع ح و م م بیمه ]]*7%,"")</f>
        <v/>
      </c>
      <c r="U96"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96" s="46" t="str">
        <f>IFERROR(ج_ح_خرداد16[[#This Row],[وام]]+ج_ح_خرداد16[[#This Row],[مساعده]]+ج_ح_خرداد16[[#This Row],[بیمه پرداختنی]]+ج_ح_خرداد16[[#This Row],[مالیات پرداختنی]],"")</f>
        <v/>
      </c>
      <c r="W96" s="46" t="str">
        <f>IFERROR(ج_ح_خرداد16[[#This Row],[جمع ح و م]]-ج_ح_خرداد16[[#This Row],[جمع کسورات]],"")</f>
        <v/>
      </c>
    </row>
    <row r="97" spans="2:23" s="41" customFormat="1" ht="32.1" customHeight="1">
      <c r="B97" s="41">
        <f t="shared" si="1"/>
        <v>3</v>
      </c>
      <c r="C97" s="42" t="str">
        <f>IF(ج_ح_خرداد16[[#This Row],[نام]]&lt;&gt;"",ROW()-81+1,"")</f>
        <v/>
      </c>
      <c r="D97" s="43"/>
      <c r="E97" s="43"/>
      <c r="F97" s="44"/>
      <c r="G97" s="45"/>
      <c r="H97" s="46" t="str">
        <f>IF(ج_ح_خرداد16[[#This Row],[کارکرد]]*ج_ح_خرداد16[[#This Row],[دستمزد روزانه ]]=0,"",ج_ح_خرداد16[[#This Row],[کارکرد]]*ج_ح_خرداد16[[#This Row],[دستمزد روزانه ]])</f>
        <v/>
      </c>
      <c r="I97" s="47"/>
      <c r="J97" s="48">
        <f>(ج_ح_خرداد16[[#This Row],[دستمزد روزانه ]]/7.33)*1.4*ج_ح_خرداد16[[#This Row],[مدت اضافه کاری ]]</f>
        <v>0</v>
      </c>
      <c r="K97" s="46" t="str">
        <f>IF(ج_ح_خرداد16[[#This Row],[کارکرد]]="","",ج_ح_خرداد16[[#This Row],[کارکرد]]*حق_مسکن/30)</f>
        <v/>
      </c>
      <c r="L97" s="49"/>
      <c r="M97" s="46" t="str">
        <f>IF(ج_ح_خرداد16[[#This Row],[تعداد فرزندان]]="","",ج_ح_خرداد16[[#This Row],[کارکرد]]/31*3*ج_ح_خرداد16[[#This Row],[تعداد فرزندان]]*حداقل_حقوق_پایه_روزانه)</f>
        <v/>
      </c>
      <c r="N97" s="46" t="str">
        <f>IF(ج_ح_خرداد16[[#This Row],[کارکرد]]="","",ج_ح_خرداد16[[#This Row],[کارکرد]]*حق_خواربار/30)</f>
        <v/>
      </c>
      <c r="O97" s="46" t="str">
        <f>IFERROR(ج_ح_خرداد16[[#This Row],[حقوق پایه]]+ج_ح_خرداد16[[#This Row],[اضافه کاری]]+ج_ح_خرداد16[[#This Row],[حق مسکن]]+ج_ح_خرداد16[[#This Row],[حق اولاد]]+ج_ح_خرداد16[[#This Row],[حق و خواروبار]],"")</f>
        <v/>
      </c>
      <c r="P97"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97" s="46" t="str">
        <f>IFERROR(ج_ح_خرداد16[[#This Row],[حقوق پایه]]+ج_ح_خرداد16[[#This Row],[اضافه کاری]]-(2/7)*ج_ح_خرداد16[[#This Row],[بیمه پرداختنی]],"")</f>
        <v/>
      </c>
      <c r="R97" s="45"/>
      <c r="S97" s="45"/>
      <c r="T97" s="46" t="str">
        <f>IFERROR(ج_ح_خرداد16[[#This Row],[جمع ح و م م بیمه ]]*7%,"")</f>
        <v/>
      </c>
      <c r="U97"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97" s="46" t="str">
        <f>IFERROR(ج_ح_خرداد16[[#This Row],[وام]]+ج_ح_خرداد16[[#This Row],[مساعده]]+ج_ح_خرداد16[[#This Row],[بیمه پرداختنی]]+ج_ح_خرداد16[[#This Row],[مالیات پرداختنی]],"")</f>
        <v/>
      </c>
      <c r="W97" s="46" t="str">
        <f>IFERROR(ج_ح_خرداد16[[#This Row],[جمع ح و م]]-ج_ح_خرداد16[[#This Row],[جمع کسورات]],"")</f>
        <v/>
      </c>
    </row>
    <row r="98" spans="2:23" s="41" customFormat="1" ht="32.1" customHeight="1">
      <c r="B98" s="41">
        <f t="shared" si="1"/>
        <v>3</v>
      </c>
      <c r="C98" s="42" t="str">
        <f>IF(ج_ح_خرداد16[[#This Row],[نام]]&lt;&gt;"",ROW()-81+1,"")</f>
        <v/>
      </c>
      <c r="D98" s="43"/>
      <c r="E98" s="43"/>
      <c r="F98" s="44"/>
      <c r="G98" s="45"/>
      <c r="H98" s="46" t="str">
        <f>IF(ج_ح_خرداد16[[#This Row],[کارکرد]]*ج_ح_خرداد16[[#This Row],[دستمزد روزانه ]]=0,"",ج_ح_خرداد16[[#This Row],[کارکرد]]*ج_ح_خرداد16[[#This Row],[دستمزد روزانه ]])</f>
        <v/>
      </c>
      <c r="I98" s="47"/>
      <c r="J98" s="48">
        <f>(ج_ح_خرداد16[[#This Row],[دستمزد روزانه ]]/7.33)*1.4*ج_ح_خرداد16[[#This Row],[مدت اضافه کاری ]]</f>
        <v>0</v>
      </c>
      <c r="K98" s="46" t="str">
        <f>IF(ج_ح_خرداد16[[#This Row],[کارکرد]]="","",ج_ح_خرداد16[[#This Row],[کارکرد]]*حق_مسکن/30)</f>
        <v/>
      </c>
      <c r="L98" s="49"/>
      <c r="M98" s="46" t="str">
        <f>IF(ج_ح_خرداد16[[#This Row],[تعداد فرزندان]]="","",ج_ح_خرداد16[[#This Row],[کارکرد]]/31*3*ج_ح_خرداد16[[#This Row],[تعداد فرزندان]]*حداقل_حقوق_پایه_روزانه)</f>
        <v/>
      </c>
      <c r="N98" s="46" t="str">
        <f>IF(ج_ح_خرداد16[[#This Row],[کارکرد]]="","",ج_ح_خرداد16[[#This Row],[کارکرد]]*حق_خواربار/30)</f>
        <v/>
      </c>
      <c r="O98" s="46" t="str">
        <f>IFERROR(ج_ح_خرداد16[[#This Row],[حقوق پایه]]+ج_ح_خرداد16[[#This Row],[اضافه کاری]]+ج_ح_خرداد16[[#This Row],[حق مسکن]]+ج_ح_خرداد16[[#This Row],[حق اولاد]]+ج_ح_خرداد16[[#This Row],[حق و خواروبار]],"")</f>
        <v/>
      </c>
      <c r="P98"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98" s="46" t="str">
        <f>IFERROR(ج_ح_خرداد16[[#This Row],[حقوق پایه]]+ج_ح_خرداد16[[#This Row],[اضافه کاری]]-(2/7)*ج_ح_خرداد16[[#This Row],[بیمه پرداختنی]],"")</f>
        <v/>
      </c>
      <c r="R98" s="45"/>
      <c r="S98" s="45"/>
      <c r="T98" s="46" t="str">
        <f>IFERROR(ج_ح_خرداد16[[#This Row],[جمع ح و م م بیمه ]]*7%,"")</f>
        <v/>
      </c>
      <c r="U98"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98" s="46" t="str">
        <f>IFERROR(ج_ح_خرداد16[[#This Row],[وام]]+ج_ح_خرداد16[[#This Row],[مساعده]]+ج_ح_خرداد16[[#This Row],[بیمه پرداختنی]]+ج_ح_خرداد16[[#This Row],[مالیات پرداختنی]],"")</f>
        <v/>
      </c>
      <c r="W98" s="46" t="str">
        <f>IFERROR(ج_ح_خرداد16[[#This Row],[جمع ح و م]]-ج_ح_خرداد16[[#This Row],[جمع کسورات]],"")</f>
        <v/>
      </c>
    </row>
    <row r="99" spans="2:23" s="41" customFormat="1" ht="32.1" customHeight="1">
      <c r="B99" s="41">
        <f t="shared" si="1"/>
        <v>3</v>
      </c>
      <c r="C99" s="42" t="str">
        <f>IF(ج_ح_خرداد16[[#This Row],[نام]]&lt;&gt;"",ROW()-81+1,"")</f>
        <v/>
      </c>
      <c r="D99" s="43"/>
      <c r="E99" s="43"/>
      <c r="F99" s="44"/>
      <c r="G99" s="45"/>
      <c r="H99" s="46" t="str">
        <f>IF(ج_ح_خرداد16[[#This Row],[کارکرد]]*ج_ح_خرداد16[[#This Row],[دستمزد روزانه ]]=0,"",ج_ح_خرداد16[[#This Row],[کارکرد]]*ج_ح_خرداد16[[#This Row],[دستمزد روزانه ]])</f>
        <v/>
      </c>
      <c r="I99" s="47"/>
      <c r="J99" s="48">
        <f>(ج_ح_خرداد16[[#This Row],[دستمزد روزانه ]]/7.33)*1.4*ج_ح_خرداد16[[#This Row],[مدت اضافه کاری ]]</f>
        <v>0</v>
      </c>
      <c r="K99" s="46" t="str">
        <f>IF(ج_ح_خرداد16[[#This Row],[کارکرد]]="","",ج_ح_خرداد16[[#This Row],[کارکرد]]*حق_مسکن/30)</f>
        <v/>
      </c>
      <c r="L99" s="49"/>
      <c r="M99" s="46" t="str">
        <f>IF(ج_ح_خرداد16[[#This Row],[تعداد فرزندان]]="","",ج_ح_خرداد16[[#This Row],[کارکرد]]/31*3*ج_ح_خرداد16[[#This Row],[تعداد فرزندان]]*حداقل_حقوق_پایه_روزانه)</f>
        <v/>
      </c>
      <c r="N99" s="46" t="str">
        <f>IF(ج_ح_خرداد16[[#This Row],[کارکرد]]="","",ج_ح_خرداد16[[#This Row],[کارکرد]]*حق_خواربار/30)</f>
        <v/>
      </c>
      <c r="O99" s="46" t="str">
        <f>IFERROR(ج_ح_خرداد16[[#This Row],[حقوق پایه]]+ج_ح_خرداد16[[#This Row],[اضافه کاری]]+ج_ح_خرداد16[[#This Row],[حق مسکن]]+ج_ح_خرداد16[[#This Row],[حق اولاد]]+ج_ح_خرداد16[[#This Row],[حق و خواروبار]],"")</f>
        <v/>
      </c>
      <c r="P99"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99" s="46" t="str">
        <f>IFERROR(ج_ح_خرداد16[[#This Row],[حقوق پایه]]+ج_ح_خرداد16[[#This Row],[اضافه کاری]]-(2/7)*ج_ح_خرداد16[[#This Row],[بیمه پرداختنی]],"")</f>
        <v/>
      </c>
      <c r="R99" s="45"/>
      <c r="S99" s="45"/>
      <c r="T99" s="46" t="str">
        <f>IFERROR(ج_ح_خرداد16[[#This Row],[جمع ح و م م بیمه ]]*7%,"")</f>
        <v/>
      </c>
      <c r="U99"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99" s="46" t="str">
        <f>IFERROR(ج_ح_خرداد16[[#This Row],[وام]]+ج_ح_خرداد16[[#This Row],[مساعده]]+ج_ح_خرداد16[[#This Row],[بیمه پرداختنی]]+ج_ح_خرداد16[[#This Row],[مالیات پرداختنی]],"")</f>
        <v/>
      </c>
      <c r="W99" s="46" t="str">
        <f>IFERROR(ج_ح_خرداد16[[#This Row],[جمع ح و م]]-ج_ح_خرداد16[[#This Row],[جمع کسورات]],"")</f>
        <v/>
      </c>
    </row>
    <row r="100" spans="2:23" s="41" customFormat="1" ht="32.1" customHeight="1">
      <c r="B100" s="41">
        <f t="shared" si="1"/>
        <v>3</v>
      </c>
      <c r="C100" s="42" t="str">
        <f>IF(ج_ح_خرداد16[[#This Row],[نام]]&lt;&gt;"",ROW()-81+1,"")</f>
        <v/>
      </c>
      <c r="D100" s="43"/>
      <c r="E100" s="43"/>
      <c r="F100" s="44"/>
      <c r="G100" s="45"/>
      <c r="H100" s="46" t="str">
        <f>IF(ج_ح_خرداد16[[#This Row],[کارکرد]]*ج_ح_خرداد16[[#This Row],[دستمزد روزانه ]]=0,"",ج_ح_خرداد16[[#This Row],[کارکرد]]*ج_ح_خرداد16[[#This Row],[دستمزد روزانه ]])</f>
        <v/>
      </c>
      <c r="I100" s="47"/>
      <c r="J100" s="48">
        <f>(ج_ح_خرداد16[[#This Row],[دستمزد روزانه ]]/7.33)*1.4*ج_ح_خرداد16[[#This Row],[مدت اضافه کاری ]]</f>
        <v>0</v>
      </c>
      <c r="K100" s="46" t="str">
        <f>IF(ج_ح_خرداد16[[#This Row],[کارکرد]]="","",ج_ح_خرداد16[[#This Row],[کارکرد]]*حق_مسکن/30)</f>
        <v/>
      </c>
      <c r="L100" s="49"/>
      <c r="M100" s="46" t="str">
        <f>IF(ج_ح_خرداد16[[#This Row],[تعداد فرزندان]]="","",ج_ح_خرداد16[[#This Row],[کارکرد]]/31*3*ج_ح_خرداد16[[#This Row],[تعداد فرزندان]]*حداقل_حقوق_پایه_روزانه)</f>
        <v/>
      </c>
      <c r="N100" s="46" t="str">
        <f>IF(ج_ح_خرداد16[[#This Row],[کارکرد]]="","",ج_ح_خرداد16[[#This Row],[کارکرد]]*حق_خواربار/30)</f>
        <v/>
      </c>
      <c r="O100" s="46" t="str">
        <f>IFERROR(ج_ح_خرداد16[[#This Row],[حقوق پایه]]+ج_ح_خرداد16[[#This Row],[اضافه کاری]]+ج_ح_خرداد16[[#This Row],[حق مسکن]]+ج_ح_خرداد16[[#This Row],[حق اولاد]]+ج_ح_خرداد16[[#This Row],[حق و خواروبار]],"")</f>
        <v/>
      </c>
      <c r="P100"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100" s="46" t="str">
        <f>IFERROR(ج_ح_خرداد16[[#This Row],[حقوق پایه]]+ج_ح_خرداد16[[#This Row],[اضافه کاری]]-(2/7)*ج_ح_خرداد16[[#This Row],[بیمه پرداختنی]],"")</f>
        <v/>
      </c>
      <c r="R100" s="45"/>
      <c r="S100" s="45"/>
      <c r="T100" s="46" t="str">
        <f>IFERROR(ج_ح_خرداد16[[#This Row],[جمع ح و م م بیمه ]]*7%,"")</f>
        <v/>
      </c>
      <c r="U100"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100" s="46" t="str">
        <f>IFERROR(ج_ح_خرداد16[[#This Row],[وام]]+ج_ح_خرداد16[[#This Row],[مساعده]]+ج_ح_خرداد16[[#This Row],[بیمه پرداختنی]]+ج_ح_خرداد16[[#This Row],[مالیات پرداختنی]],"")</f>
        <v/>
      </c>
      <c r="W100" s="46" t="str">
        <f>IFERROR(ج_ح_خرداد16[[#This Row],[جمع ح و م]]-ج_ح_خرداد16[[#This Row],[جمع کسورات]],"")</f>
        <v/>
      </c>
    </row>
    <row r="101" spans="2:23" s="41" customFormat="1" ht="32.1" customHeight="1">
      <c r="B101" s="41">
        <f t="shared" si="1"/>
        <v>3</v>
      </c>
      <c r="C101" s="42" t="str">
        <f>IF(ج_ح_خرداد16[[#This Row],[نام]]&lt;&gt;"",ROW()-81+1,"")</f>
        <v/>
      </c>
      <c r="D101" s="43"/>
      <c r="E101" s="43"/>
      <c r="F101" s="44"/>
      <c r="G101" s="45"/>
      <c r="H101" s="46" t="str">
        <f>IF(ج_ح_خرداد16[[#This Row],[کارکرد]]*ج_ح_خرداد16[[#This Row],[دستمزد روزانه ]]=0,"",ج_ح_خرداد16[[#This Row],[کارکرد]]*ج_ح_خرداد16[[#This Row],[دستمزد روزانه ]])</f>
        <v/>
      </c>
      <c r="I101" s="47"/>
      <c r="J101" s="48">
        <f>(ج_ح_خرداد16[[#This Row],[دستمزد روزانه ]]/7.33)*1.4*ج_ح_خرداد16[[#This Row],[مدت اضافه کاری ]]</f>
        <v>0</v>
      </c>
      <c r="K101" s="46" t="str">
        <f>IF(ج_ح_خرداد16[[#This Row],[کارکرد]]="","",ج_ح_خرداد16[[#This Row],[کارکرد]]*حق_مسکن/30)</f>
        <v/>
      </c>
      <c r="L101" s="49"/>
      <c r="M101" s="46" t="str">
        <f>IF(ج_ح_خرداد16[[#This Row],[تعداد فرزندان]]="","",ج_ح_خرداد16[[#This Row],[کارکرد]]/31*3*ج_ح_خرداد16[[#This Row],[تعداد فرزندان]]*حداقل_حقوق_پایه_روزانه)</f>
        <v/>
      </c>
      <c r="N101" s="46" t="str">
        <f>IF(ج_ح_خرداد16[[#This Row],[کارکرد]]="","",ج_ح_خرداد16[[#This Row],[کارکرد]]*حق_خواربار/30)</f>
        <v/>
      </c>
      <c r="O101" s="46" t="str">
        <f>IFERROR(ج_ح_خرداد16[[#This Row],[حقوق پایه]]+ج_ح_خرداد16[[#This Row],[اضافه کاری]]+ج_ح_خرداد16[[#This Row],[حق مسکن]]+ج_ح_خرداد16[[#This Row],[حق اولاد]]+ج_ح_خرداد16[[#This Row],[حق و خواروبار]],"")</f>
        <v/>
      </c>
      <c r="P101"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101" s="46" t="str">
        <f>IFERROR(ج_ح_خرداد16[[#This Row],[حقوق پایه]]+ج_ح_خرداد16[[#This Row],[اضافه کاری]]-(2/7)*ج_ح_خرداد16[[#This Row],[بیمه پرداختنی]],"")</f>
        <v/>
      </c>
      <c r="R101" s="45"/>
      <c r="S101" s="45"/>
      <c r="T101" s="46" t="str">
        <f>IFERROR(ج_ح_خرداد16[[#This Row],[جمع ح و م م بیمه ]]*7%,"")</f>
        <v/>
      </c>
      <c r="U101"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101" s="46" t="str">
        <f>IFERROR(ج_ح_خرداد16[[#This Row],[وام]]+ج_ح_خرداد16[[#This Row],[مساعده]]+ج_ح_خرداد16[[#This Row],[بیمه پرداختنی]]+ج_ح_خرداد16[[#This Row],[مالیات پرداختنی]],"")</f>
        <v/>
      </c>
      <c r="W101" s="46" t="str">
        <f>IFERROR(ج_ح_خرداد16[[#This Row],[جمع ح و م]]-ج_ح_خرداد16[[#This Row],[جمع کسورات]],"")</f>
        <v/>
      </c>
    </row>
    <row r="102" spans="2:23" s="41" customFormat="1" ht="32.1" customHeight="1">
      <c r="B102" s="41">
        <f t="shared" si="1"/>
        <v>3</v>
      </c>
      <c r="C102" s="42" t="str">
        <f>IF(ج_ح_خرداد16[[#This Row],[نام]]&lt;&gt;"",ROW()-81+1,"")</f>
        <v/>
      </c>
      <c r="D102" s="43"/>
      <c r="E102" s="43"/>
      <c r="F102" s="44"/>
      <c r="G102" s="45"/>
      <c r="H102" s="46" t="str">
        <f>IF(ج_ح_خرداد16[[#This Row],[کارکرد]]*ج_ح_خرداد16[[#This Row],[دستمزد روزانه ]]=0,"",ج_ح_خرداد16[[#This Row],[کارکرد]]*ج_ح_خرداد16[[#This Row],[دستمزد روزانه ]])</f>
        <v/>
      </c>
      <c r="I102" s="47"/>
      <c r="J102" s="48">
        <f>(ج_ح_خرداد16[[#This Row],[دستمزد روزانه ]]/7.33)*1.4*ج_ح_خرداد16[[#This Row],[مدت اضافه کاری ]]</f>
        <v>0</v>
      </c>
      <c r="K102" s="46" t="str">
        <f>IF(ج_ح_خرداد16[[#This Row],[کارکرد]]="","",ج_ح_خرداد16[[#This Row],[کارکرد]]*حق_مسکن/30)</f>
        <v/>
      </c>
      <c r="L102" s="49"/>
      <c r="M102" s="46" t="str">
        <f>IF(ج_ح_خرداد16[[#This Row],[تعداد فرزندان]]="","",ج_ح_خرداد16[[#This Row],[کارکرد]]/31*3*ج_ح_خرداد16[[#This Row],[تعداد فرزندان]]*حداقل_حقوق_پایه_روزانه)</f>
        <v/>
      </c>
      <c r="N102" s="46" t="str">
        <f>IF(ج_ح_خرداد16[[#This Row],[کارکرد]]="","",ج_ح_خرداد16[[#This Row],[کارکرد]]*حق_خواربار/30)</f>
        <v/>
      </c>
      <c r="O102" s="46" t="str">
        <f>IFERROR(ج_ح_خرداد16[[#This Row],[حقوق پایه]]+ج_ح_خرداد16[[#This Row],[اضافه کاری]]+ج_ح_خرداد16[[#This Row],[حق مسکن]]+ج_ح_خرداد16[[#This Row],[حق اولاد]]+ج_ح_خرداد16[[#This Row],[حق و خواروبار]],"")</f>
        <v/>
      </c>
      <c r="P102"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102" s="46" t="str">
        <f>IFERROR(ج_ح_خرداد16[[#This Row],[حقوق پایه]]+ج_ح_خرداد16[[#This Row],[اضافه کاری]]-(2/7)*ج_ح_خرداد16[[#This Row],[بیمه پرداختنی]],"")</f>
        <v/>
      </c>
      <c r="R102" s="45"/>
      <c r="S102" s="45"/>
      <c r="T102" s="46" t="str">
        <f>IFERROR(ج_ح_خرداد16[[#This Row],[جمع ح و م م بیمه ]]*7%,"")</f>
        <v/>
      </c>
      <c r="U102"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102" s="46" t="str">
        <f>IFERROR(ج_ح_خرداد16[[#This Row],[وام]]+ج_ح_خرداد16[[#This Row],[مساعده]]+ج_ح_خرداد16[[#This Row],[بیمه پرداختنی]]+ج_ح_خرداد16[[#This Row],[مالیات پرداختنی]],"")</f>
        <v/>
      </c>
      <c r="W102" s="46" t="str">
        <f>IFERROR(ج_ح_خرداد16[[#This Row],[جمع ح و م]]-ج_ح_خرداد16[[#This Row],[جمع کسورات]],"")</f>
        <v/>
      </c>
    </row>
    <row r="103" spans="2:23" s="41" customFormat="1" ht="32.1" customHeight="1">
      <c r="B103" s="41">
        <f t="shared" si="1"/>
        <v>3</v>
      </c>
      <c r="C103" s="42" t="str">
        <f>IF(ج_ح_خرداد16[[#This Row],[نام]]&lt;&gt;"",ROW()-81+1,"")</f>
        <v/>
      </c>
      <c r="D103" s="43"/>
      <c r="E103" s="43"/>
      <c r="F103" s="44"/>
      <c r="G103" s="45"/>
      <c r="H103" s="46" t="str">
        <f>IF(ج_ح_خرداد16[[#This Row],[کارکرد]]*ج_ح_خرداد16[[#This Row],[دستمزد روزانه ]]=0,"",ج_ح_خرداد16[[#This Row],[کارکرد]]*ج_ح_خرداد16[[#This Row],[دستمزد روزانه ]])</f>
        <v/>
      </c>
      <c r="I103" s="47"/>
      <c r="J103" s="48">
        <f>(ج_ح_خرداد16[[#This Row],[دستمزد روزانه ]]/7.33)*1.4*ج_ح_خرداد16[[#This Row],[مدت اضافه کاری ]]</f>
        <v>0</v>
      </c>
      <c r="K103" s="46" t="str">
        <f>IF(ج_ح_خرداد16[[#This Row],[کارکرد]]="","",ج_ح_خرداد16[[#This Row],[کارکرد]]*حق_مسکن/30)</f>
        <v/>
      </c>
      <c r="L103" s="49"/>
      <c r="M103" s="46" t="str">
        <f>IF(ج_ح_خرداد16[[#This Row],[تعداد فرزندان]]="","",ج_ح_خرداد16[[#This Row],[کارکرد]]/31*3*ج_ح_خرداد16[[#This Row],[تعداد فرزندان]]*حداقل_حقوق_پایه_روزانه)</f>
        <v/>
      </c>
      <c r="N103" s="46" t="str">
        <f>IF(ج_ح_خرداد16[[#This Row],[کارکرد]]="","",ج_ح_خرداد16[[#This Row],[کارکرد]]*حق_خواربار/30)</f>
        <v/>
      </c>
      <c r="O103" s="46" t="str">
        <f>IFERROR(ج_ح_خرداد16[[#This Row],[حقوق پایه]]+ج_ح_خرداد16[[#This Row],[اضافه کاری]]+ج_ح_خرداد16[[#This Row],[حق مسکن]]+ج_ح_خرداد16[[#This Row],[حق اولاد]]+ج_ح_خرداد16[[#This Row],[حق و خواروبار]],"")</f>
        <v/>
      </c>
      <c r="P103"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103" s="46" t="str">
        <f>IFERROR(ج_ح_خرداد16[[#This Row],[حقوق پایه]]+ج_ح_خرداد16[[#This Row],[اضافه کاری]]-(2/7)*ج_ح_خرداد16[[#This Row],[بیمه پرداختنی]],"")</f>
        <v/>
      </c>
      <c r="R103" s="45"/>
      <c r="S103" s="45"/>
      <c r="T103" s="46" t="str">
        <f>IFERROR(ج_ح_خرداد16[[#This Row],[جمع ح و م م بیمه ]]*7%,"")</f>
        <v/>
      </c>
      <c r="U103"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103" s="46" t="str">
        <f>IFERROR(ج_ح_خرداد16[[#This Row],[وام]]+ج_ح_خرداد16[[#This Row],[مساعده]]+ج_ح_خرداد16[[#This Row],[بیمه پرداختنی]]+ج_ح_خرداد16[[#This Row],[مالیات پرداختنی]],"")</f>
        <v/>
      </c>
      <c r="W103" s="46" t="str">
        <f>IFERROR(ج_ح_خرداد16[[#This Row],[جمع ح و م]]-ج_ح_خرداد16[[#This Row],[جمع کسورات]],"")</f>
        <v/>
      </c>
    </row>
    <row r="104" spans="2:23" s="41" customFormat="1" ht="32.1" customHeight="1">
      <c r="B104" s="41">
        <f t="shared" si="1"/>
        <v>3</v>
      </c>
      <c r="C104" s="42" t="str">
        <f>IF(ج_ح_خرداد16[[#This Row],[نام]]&lt;&gt;"",ROW()-81+1,"")</f>
        <v/>
      </c>
      <c r="D104" s="43"/>
      <c r="E104" s="43"/>
      <c r="F104" s="44"/>
      <c r="G104" s="45"/>
      <c r="H104" s="46" t="str">
        <f>IF(ج_ح_خرداد16[[#This Row],[کارکرد]]*ج_ح_خرداد16[[#This Row],[دستمزد روزانه ]]=0,"",ج_ح_خرداد16[[#This Row],[کارکرد]]*ج_ح_خرداد16[[#This Row],[دستمزد روزانه ]])</f>
        <v/>
      </c>
      <c r="I104" s="47"/>
      <c r="J104" s="48">
        <f>(ج_ح_خرداد16[[#This Row],[دستمزد روزانه ]]/7.33)*1.4*ج_ح_خرداد16[[#This Row],[مدت اضافه کاری ]]</f>
        <v>0</v>
      </c>
      <c r="K104" s="46" t="str">
        <f>IF(ج_ح_خرداد16[[#This Row],[کارکرد]]="","",ج_ح_خرداد16[[#This Row],[کارکرد]]*حق_مسکن/30)</f>
        <v/>
      </c>
      <c r="L104" s="49"/>
      <c r="M104" s="46" t="str">
        <f>IF(ج_ح_خرداد16[[#This Row],[تعداد فرزندان]]="","",ج_ح_خرداد16[[#This Row],[کارکرد]]/31*3*ج_ح_خرداد16[[#This Row],[تعداد فرزندان]]*حداقل_حقوق_پایه_روزانه)</f>
        <v/>
      </c>
      <c r="N104" s="46" t="str">
        <f>IF(ج_ح_خرداد16[[#This Row],[کارکرد]]="","",ج_ح_خرداد16[[#This Row],[کارکرد]]*حق_خواربار/30)</f>
        <v/>
      </c>
      <c r="O104" s="46" t="str">
        <f>IFERROR(ج_ح_خرداد16[[#This Row],[حقوق پایه]]+ج_ح_خرداد16[[#This Row],[اضافه کاری]]+ج_ح_خرداد16[[#This Row],[حق مسکن]]+ج_ح_خرداد16[[#This Row],[حق اولاد]]+ج_ح_خرداد16[[#This Row],[حق و خواروبار]],"")</f>
        <v/>
      </c>
      <c r="P104"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104" s="46" t="str">
        <f>IFERROR(ج_ح_خرداد16[[#This Row],[حقوق پایه]]+ج_ح_خرداد16[[#This Row],[اضافه کاری]]-(2/7)*ج_ح_خرداد16[[#This Row],[بیمه پرداختنی]],"")</f>
        <v/>
      </c>
      <c r="R104" s="45"/>
      <c r="S104" s="45"/>
      <c r="T104" s="46" t="str">
        <f>IFERROR(ج_ح_خرداد16[[#This Row],[جمع ح و م م بیمه ]]*7%,"")</f>
        <v/>
      </c>
      <c r="U104"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104" s="46" t="str">
        <f>IFERROR(ج_ح_خرداد16[[#This Row],[وام]]+ج_ح_خرداد16[[#This Row],[مساعده]]+ج_ح_خرداد16[[#This Row],[بیمه پرداختنی]]+ج_ح_خرداد16[[#This Row],[مالیات پرداختنی]],"")</f>
        <v/>
      </c>
      <c r="W104" s="46" t="str">
        <f>IFERROR(ج_ح_خرداد16[[#This Row],[جمع ح و م]]-ج_ح_خرداد16[[#This Row],[جمع کسورات]],"")</f>
        <v/>
      </c>
    </row>
    <row r="105" spans="2:23" s="41" customFormat="1" ht="32.1" customHeight="1">
      <c r="B105" s="41">
        <f t="shared" si="1"/>
        <v>3</v>
      </c>
      <c r="C105" s="42" t="str">
        <f>IF(ج_ح_خرداد16[[#This Row],[نام]]&lt;&gt;"",ROW()-81+1,"")</f>
        <v/>
      </c>
      <c r="D105" s="43"/>
      <c r="E105" s="43"/>
      <c r="F105" s="44"/>
      <c r="G105" s="45"/>
      <c r="H105" s="46" t="str">
        <f>IF(ج_ح_خرداد16[[#This Row],[کارکرد]]*ج_ح_خرداد16[[#This Row],[دستمزد روزانه ]]=0,"",ج_ح_خرداد16[[#This Row],[کارکرد]]*ج_ح_خرداد16[[#This Row],[دستمزد روزانه ]])</f>
        <v/>
      </c>
      <c r="I105" s="47"/>
      <c r="J105" s="48">
        <f>(ج_ح_خرداد16[[#This Row],[دستمزد روزانه ]]/7.33)*1.4*ج_ح_خرداد16[[#This Row],[مدت اضافه کاری ]]</f>
        <v>0</v>
      </c>
      <c r="K105" s="46" t="str">
        <f>IF(ج_ح_خرداد16[[#This Row],[کارکرد]]="","",ج_ح_خرداد16[[#This Row],[کارکرد]]*حق_مسکن/30)</f>
        <v/>
      </c>
      <c r="L105" s="49"/>
      <c r="M105" s="46" t="str">
        <f>IF(ج_ح_خرداد16[[#This Row],[تعداد فرزندان]]="","",ج_ح_خرداد16[[#This Row],[کارکرد]]/31*3*ج_ح_خرداد16[[#This Row],[تعداد فرزندان]]*حداقل_حقوق_پایه_روزانه)</f>
        <v/>
      </c>
      <c r="N105" s="46" t="str">
        <f>IF(ج_ح_خرداد16[[#This Row],[کارکرد]]="","",ج_ح_خرداد16[[#This Row],[کارکرد]]*حق_خواربار/30)</f>
        <v/>
      </c>
      <c r="O105" s="46" t="str">
        <f>IFERROR(ج_ح_خرداد16[[#This Row],[حقوق پایه]]+ج_ح_خرداد16[[#This Row],[اضافه کاری]]+ج_ح_خرداد16[[#This Row],[حق مسکن]]+ج_ح_خرداد16[[#This Row],[حق اولاد]]+ج_ح_خرداد16[[#This Row],[حق و خواروبار]],"")</f>
        <v/>
      </c>
      <c r="P105"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105" s="46" t="str">
        <f>IFERROR(ج_ح_خرداد16[[#This Row],[حقوق پایه]]+ج_ح_خرداد16[[#This Row],[اضافه کاری]]-(2/7)*ج_ح_خرداد16[[#This Row],[بیمه پرداختنی]],"")</f>
        <v/>
      </c>
      <c r="R105" s="45"/>
      <c r="S105" s="45"/>
      <c r="T105" s="46" t="str">
        <f>IFERROR(ج_ح_خرداد16[[#This Row],[جمع ح و م م بیمه ]]*7%,"")</f>
        <v/>
      </c>
      <c r="U105"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105" s="46" t="str">
        <f>IFERROR(ج_ح_خرداد16[[#This Row],[وام]]+ج_ح_خرداد16[[#This Row],[مساعده]]+ج_ح_خرداد16[[#This Row],[بیمه پرداختنی]]+ج_ح_خرداد16[[#This Row],[مالیات پرداختنی]],"")</f>
        <v/>
      </c>
      <c r="W105" s="46" t="str">
        <f>IFERROR(ج_ح_خرداد16[[#This Row],[جمع ح و م]]-ج_ح_خرداد16[[#This Row],[جمع کسورات]],"")</f>
        <v/>
      </c>
    </row>
    <row r="106" spans="2:23" s="41" customFormat="1" ht="32.1" customHeight="1">
      <c r="B106" s="41">
        <f t="shared" si="1"/>
        <v>3</v>
      </c>
      <c r="C106" s="42" t="str">
        <f>IF(ج_ح_خرداد16[[#This Row],[نام]]&lt;&gt;"",ROW()-81+1,"")</f>
        <v/>
      </c>
      <c r="D106" s="43"/>
      <c r="E106" s="43"/>
      <c r="F106" s="44"/>
      <c r="G106" s="45"/>
      <c r="H106" s="46" t="str">
        <f>IF(ج_ح_خرداد16[[#This Row],[کارکرد]]*ج_ح_خرداد16[[#This Row],[دستمزد روزانه ]]=0,"",ج_ح_خرداد16[[#This Row],[کارکرد]]*ج_ح_خرداد16[[#This Row],[دستمزد روزانه ]])</f>
        <v/>
      </c>
      <c r="I106" s="47"/>
      <c r="J106" s="48">
        <f>(ج_ح_خرداد16[[#This Row],[دستمزد روزانه ]]/7.33)*1.4*ج_ح_خرداد16[[#This Row],[مدت اضافه کاری ]]</f>
        <v>0</v>
      </c>
      <c r="K106" s="46" t="str">
        <f>IF(ج_ح_خرداد16[[#This Row],[کارکرد]]="","",ج_ح_خرداد16[[#This Row],[کارکرد]]*حق_مسکن/30)</f>
        <v/>
      </c>
      <c r="L106" s="49"/>
      <c r="M106" s="46" t="str">
        <f>IF(ج_ح_خرداد16[[#This Row],[تعداد فرزندان]]="","",ج_ح_خرداد16[[#This Row],[کارکرد]]/31*3*ج_ح_خرداد16[[#This Row],[تعداد فرزندان]]*حداقل_حقوق_پایه_روزانه)</f>
        <v/>
      </c>
      <c r="N106" s="46" t="str">
        <f>IF(ج_ح_خرداد16[[#This Row],[کارکرد]]="","",ج_ح_خرداد16[[#This Row],[کارکرد]]*حق_خواربار/30)</f>
        <v/>
      </c>
      <c r="O106" s="46" t="str">
        <f>IFERROR(ج_ح_خرداد16[[#This Row],[حقوق پایه]]+ج_ح_خرداد16[[#This Row],[اضافه کاری]]+ج_ح_خرداد16[[#This Row],[حق مسکن]]+ج_ح_خرداد16[[#This Row],[حق اولاد]]+ج_ح_خرداد16[[#This Row],[حق و خواروبار]],"")</f>
        <v/>
      </c>
      <c r="P106"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106" s="46" t="str">
        <f>IFERROR(ج_ح_خرداد16[[#This Row],[حقوق پایه]]+ج_ح_خرداد16[[#This Row],[اضافه کاری]]-(2/7)*ج_ح_خرداد16[[#This Row],[بیمه پرداختنی]],"")</f>
        <v/>
      </c>
      <c r="R106" s="45"/>
      <c r="S106" s="45"/>
      <c r="T106" s="46" t="str">
        <f>IFERROR(ج_ح_خرداد16[[#This Row],[جمع ح و م م بیمه ]]*7%,"")</f>
        <v/>
      </c>
      <c r="U106"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106" s="46" t="str">
        <f>IFERROR(ج_ح_خرداد16[[#This Row],[وام]]+ج_ح_خرداد16[[#This Row],[مساعده]]+ج_ح_خرداد16[[#This Row],[بیمه پرداختنی]]+ج_ح_خرداد16[[#This Row],[مالیات پرداختنی]],"")</f>
        <v/>
      </c>
      <c r="W106" s="46" t="str">
        <f>IFERROR(ج_ح_خرداد16[[#This Row],[جمع ح و م]]-ج_ح_خرداد16[[#This Row],[جمع کسورات]],"")</f>
        <v/>
      </c>
    </row>
    <row r="107" spans="2:23" s="41" customFormat="1" ht="32.1" customHeight="1">
      <c r="B107" s="41">
        <f t="shared" si="1"/>
        <v>3</v>
      </c>
      <c r="C107" s="42" t="str">
        <f>IF(ج_ح_خرداد16[[#This Row],[نام]]&lt;&gt;"",ROW()-81+1,"")</f>
        <v/>
      </c>
      <c r="D107" s="43"/>
      <c r="E107" s="43"/>
      <c r="F107" s="44"/>
      <c r="G107" s="45"/>
      <c r="H107" s="46" t="str">
        <f>IF(ج_ح_خرداد16[[#This Row],[کارکرد]]*ج_ح_خرداد16[[#This Row],[دستمزد روزانه ]]=0,"",ج_ح_خرداد16[[#This Row],[کارکرد]]*ج_ح_خرداد16[[#This Row],[دستمزد روزانه ]])</f>
        <v/>
      </c>
      <c r="I107" s="47"/>
      <c r="J107" s="48">
        <f>(ج_ح_خرداد16[[#This Row],[دستمزد روزانه ]]/7.33)*1.4*ج_ح_خرداد16[[#This Row],[مدت اضافه کاری ]]</f>
        <v>0</v>
      </c>
      <c r="K107" s="46" t="str">
        <f>IF(ج_ح_خرداد16[[#This Row],[کارکرد]]="","",ج_ح_خرداد16[[#This Row],[کارکرد]]*حق_مسکن/30)</f>
        <v/>
      </c>
      <c r="L107" s="49"/>
      <c r="M107" s="46" t="str">
        <f>IF(ج_ح_خرداد16[[#This Row],[تعداد فرزندان]]="","",ج_ح_خرداد16[[#This Row],[کارکرد]]/31*3*ج_ح_خرداد16[[#This Row],[تعداد فرزندان]]*حداقل_حقوق_پایه_روزانه)</f>
        <v/>
      </c>
      <c r="N107" s="46" t="str">
        <f>IF(ج_ح_خرداد16[[#This Row],[کارکرد]]="","",ج_ح_خرداد16[[#This Row],[کارکرد]]*حق_خواربار/30)</f>
        <v/>
      </c>
      <c r="O107" s="46" t="str">
        <f>IFERROR(ج_ح_خرداد16[[#This Row],[حقوق پایه]]+ج_ح_خرداد16[[#This Row],[اضافه کاری]]+ج_ح_خرداد16[[#This Row],[حق مسکن]]+ج_ح_خرداد16[[#This Row],[حق اولاد]]+ج_ح_خرداد16[[#This Row],[حق و خواروبار]],"")</f>
        <v/>
      </c>
      <c r="P107"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107" s="46" t="str">
        <f>IFERROR(ج_ح_خرداد16[[#This Row],[حقوق پایه]]+ج_ح_خرداد16[[#This Row],[اضافه کاری]]-(2/7)*ج_ح_خرداد16[[#This Row],[بیمه پرداختنی]],"")</f>
        <v/>
      </c>
      <c r="R107" s="45"/>
      <c r="S107" s="45"/>
      <c r="T107" s="46" t="str">
        <f>IFERROR(ج_ح_خرداد16[[#This Row],[جمع ح و م م بیمه ]]*7%,"")</f>
        <v/>
      </c>
      <c r="U107"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107" s="46" t="str">
        <f>IFERROR(ج_ح_خرداد16[[#This Row],[وام]]+ج_ح_خرداد16[[#This Row],[مساعده]]+ج_ح_خرداد16[[#This Row],[بیمه پرداختنی]]+ج_ح_خرداد16[[#This Row],[مالیات پرداختنی]],"")</f>
        <v/>
      </c>
      <c r="W107" s="46" t="str">
        <f>IFERROR(ج_ح_خرداد16[[#This Row],[جمع ح و م]]-ج_ح_خرداد16[[#This Row],[جمع کسورات]],"")</f>
        <v/>
      </c>
    </row>
    <row r="108" spans="2:23" s="41" customFormat="1" ht="32.1" customHeight="1">
      <c r="B108" s="41">
        <f t="shared" si="1"/>
        <v>3</v>
      </c>
      <c r="C108" s="42" t="str">
        <f>IF(ج_ح_خرداد16[[#This Row],[نام]]&lt;&gt;"",ROW()-81+1,"")</f>
        <v/>
      </c>
      <c r="D108" s="43"/>
      <c r="E108" s="43"/>
      <c r="F108" s="44"/>
      <c r="G108" s="45"/>
      <c r="H108" s="46" t="str">
        <f>IF(ج_ح_خرداد16[[#This Row],[کارکرد]]*ج_ح_خرداد16[[#This Row],[دستمزد روزانه ]]=0,"",ج_ح_خرداد16[[#This Row],[کارکرد]]*ج_ح_خرداد16[[#This Row],[دستمزد روزانه ]])</f>
        <v/>
      </c>
      <c r="I108" s="47"/>
      <c r="J108" s="48">
        <f>(ج_ح_خرداد16[[#This Row],[دستمزد روزانه ]]/7.33)*1.4*ج_ح_خرداد16[[#This Row],[مدت اضافه کاری ]]</f>
        <v>0</v>
      </c>
      <c r="K108" s="46" t="str">
        <f>IF(ج_ح_خرداد16[[#This Row],[کارکرد]]="","",ج_ح_خرداد16[[#This Row],[کارکرد]]*حق_مسکن/30)</f>
        <v/>
      </c>
      <c r="L108" s="49"/>
      <c r="M108" s="46" t="str">
        <f>IF(ج_ح_خرداد16[[#This Row],[تعداد فرزندان]]="","",ج_ح_خرداد16[[#This Row],[کارکرد]]/31*3*ج_ح_خرداد16[[#This Row],[تعداد فرزندان]]*حداقل_حقوق_پایه_روزانه)</f>
        <v/>
      </c>
      <c r="N108" s="46" t="str">
        <f>IF(ج_ح_خرداد16[[#This Row],[کارکرد]]="","",ج_ح_خرداد16[[#This Row],[کارکرد]]*حق_خواربار/30)</f>
        <v/>
      </c>
      <c r="O108" s="46" t="str">
        <f>IFERROR(ج_ح_خرداد16[[#This Row],[حقوق پایه]]+ج_ح_خرداد16[[#This Row],[اضافه کاری]]+ج_ح_خرداد16[[#This Row],[حق مسکن]]+ج_ح_خرداد16[[#This Row],[حق اولاد]]+ج_ح_خرداد16[[#This Row],[حق و خواروبار]],"")</f>
        <v/>
      </c>
      <c r="P108"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108" s="46" t="str">
        <f>IFERROR(ج_ح_خرداد16[[#This Row],[حقوق پایه]]+ج_ح_خرداد16[[#This Row],[اضافه کاری]]-(2/7)*ج_ح_خرداد16[[#This Row],[بیمه پرداختنی]],"")</f>
        <v/>
      </c>
      <c r="R108" s="45"/>
      <c r="S108" s="45"/>
      <c r="T108" s="46" t="str">
        <f>IFERROR(ج_ح_خرداد16[[#This Row],[جمع ح و م م بیمه ]]*7%,"")</f>
        <v/>
      </c>
      <c r="U108"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108" s="46" t="str">
        <f>IFERROR(ج_ح_خرداد16[[#This Row],[وام]]+ج_ح_خرداد16[[#This Row],[مساعده]]+ج_ح_خرداد16[[#This Row],[بیمه پرداختنی]]+ج_ح_خرداد16[[#This Row],[مالیات پرداختنی]],"")</f>
        <v/>
      </c>
      <c r="W108" s="46" t="str">
        <f>IFERROR(ج_ح_خرداد16[[#This Row],[جمع ح و م]]-ج_ح_خرداد16[[#This Row],[جمع کسورات]],"")</f>
        <v/>
      </c>
    </row>
    <row r="109" spans="2:23" s="41" customFormat="1" ht="32.1" customHeight="1">
      <c r="B109" s="41">
        <f t="shared" si="1"/>
        <v>3</v>
      </c>
      <c r="C109" s="42" t="str">
        <f>IF(ج_ح_خرداد16[[#This Row],[نام]]&lt;&gt;"",ROW()-81+1,"")</f>
        <v/>
      </c>
      <c r="D109" s="43"/>
      <c r="E109" s="43"/>
      <c r="F109" s="44"/>
      <c r="G109" s="45"/>
      <c r="H109" s="46" t="str">
        <f>IF(ج_ح_خرداد16[[#This Row],[کارکرد]]*ج_ح_خرداد16[[#This Row],[دستمزد روزانه ]]=0,"",ج_ح_خرداد16[[#This Row],[کارکرد]]*ج_ح_خرداد16[[#This Row],[دستمزد روزانه ]])</f>
        <v/>
      </c>
      <c r="I109" s="47"/>
      <c r="J109" s="48">
        <f>(ج_ح_خرداد16[[#This Row],[دستمزد روزانه ]]/7.33)*1.4*ج_ح_خرداد16[[#This Row],[مدت اضافه کاری ]]</f>
        <v>0</v>
      </c>
      <c r="K109" s="46" t="str">
        <f>IF(ج_ح_خرداد16[[#This Row],[کارکرد]]="","",ج_ح_خرداد16[[#This Row],[کارکرد]]*حق_مسکن/30)</f>
        <v/>
      </c>
      <c r="L109" s="49"/>
      <c r="M109" s="46" t="str">
        <f>IF(ج_ح_خرداد16[[#This Row],[تعداد فرزندان]]="","",ج_ح_خرداد16[[#This Row],[کارکرد]]/31*3*ج_ح_خرداد16[[#This Row],[تعداد فرزندان]]*حداقل_حقوق_پایه_روزانه)</f>
        <v/>
      </c>
      <c r="N109" s="46" t="str">
        <f>IF(ج_ح_خرداد16[[#This Row],[کارکرد]]="","",ج_ح_خرداد16[[#This Row],[کارکرد]]*حق_خواربار/30)</f>
        <v/>
      </c>
      <c r="O109" s="46" t="str">
        <f>IFERROR(ج_ح_خرداد16[[#This Row],[حقوق پایه]]+ج_ح_خرداد16[[#This Row],[اضافه کاری]]+ج_ح_خرداد16[[#This Row],[حق مسکن]]+ج_ح_خرداد16[[#This Row],[حق اولاد]]+ج_ح_خرداد16[[#This Row],[حق و خواروبار]],"")</f>
        <v/>
      </c>
      <c r="P109"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109" s="46" t="str">
        <f>IFERROR(ج_ح_خرداد16[[#This Row],[حقوق پایه]]+ج_ح_خرداد16[[#This Row],[اضافه کاری]]-(2/7)*ج_ح_خرداد16[[#This Row],[بیمه پرداختنی]],"")</f>
        <v/>
      </c>
      <c r="R109" s="45"/>
      <c r="S109" s="45"/>
      <c r="T109" s="46" t="str">
        <f>IFERROR(ج_ح_خرداد16[[#This Row],[جمع ح و م م بیمه ]]*7%,"")</f>
        <v/>
      </c>
      <c r="U109"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109" s="46" t="str">
        <f>IFERROR(ج_ح_خرداد16[[#This Row],[وام]]+ج_ح_خرداد16[[#This Row],[مساعده]]+ج_ح_خرداد16[[#This Row],[بیمه پرداختنی]]+ج_ح_خرداد16[[#This Row],[مالیات پرداختنی]],"")</f>
        <v/>
      </c>
      <c r="W109" s="46" t="str">
        <f>IFERROR(ج_ح_خرداد16[[#This Row],[جمع ح و م]]-ج_ح_خرداد16[[#This Row],[جمع کسورات]],"")</f>
        <v/>
      </c>
    </row>
    <row r="110" spans="2:23" s="41" customFormat="1" ht="32.1" customHeight="1">
      <c r="B110" s="41">
        <f t="shared" si="1"/>
        <v>3</v>
      </c>
      <c r="C110" s="42" t="str">
        <f>IF(ج_ح_خرداد16[[#This Row],[نام]]&lt;&gt;"",ROW()-81+1,"")</f>
        <v/>
      </c>
      <c r="D110" s="43"/>
      <c r="E110" s="43"/>
      <c r="F110" s="44"/>
      <c r="G110" s="45"/>
      <c r="H110" s="46" t="str">
        <f>IF(ج_ح_خرداد16[[#This Row],[کارکرد]]*ج_ح_خرداد16[[#This Row],[دستمزد روزانه ]]=0,"",ج_ح_خرداد16[[#This Row],[کارکرد]]*ج_ح_خرداد16[[#This Row],[دستمزد روزانه ]])</f>
        <v/>
      </c>
      <c r="I110" s="47"/>
      <c r="J110" s="48">
        <f>(ج_ح_خرداد16[[#This Row],[دستمزد روزانه ]]/7.33)*1.4*ج_ح_خرداد16[[#This Row],[مدت اضافه کاری ]]</f>
        <v>0</v>
      </c>
      <c r="K110" s="46" t="str">
        <f>IF(ج_ح_خرداد16[[#This Row],[کارکرد]]="","",ج_ح_خرداد16[[#This Row],[کارکرد]]*حق_مسکن/30)</f>
        <v/>
      </c>
      <c r="L110" s="49"/>
      <c r="M110" s="46" t="str">
        <f>IF(ج_ح_خرداد16[[#This Row],[تعداد فرزندان]]="","",ج_ح_خرداد16[[#This Row],[کارکرد]]/31*3*ج_ح_خرداد16[[#This Row],[تعداد فرزندان]]*حداقل_حقوق_پایه_روزانه)</f>
        <v/>
      </c>
      <c r="N110" s="46" t="str">
        <f>IF(ج_ح_خرداد16[[#This Row],[کارکرد]]="","",ج_ح_خرداد16[[#This Row],[کارکرد]]*حق_خواربار/30)</f>
        <v/>
      </c>
      <c r="O110" s="46" t="str">
        <f>IFERROR(ج_ح_خرداد16[[#This Row],[حقوق پایه]]+ج_ح_خرداد16[[#This Row],[اضافه کاری]]+ج_ح_خرداد16[[#This Row],[حق مسکن]]+ج_ح_خرداد16[[#This Row],[حق اولاد]]+ج_ح_خرداد16[[#This Row],[حق و خواروبار]],"")</f>
        <v/>
      </c>
      <c r="P110" s="46" t="str">
        <f>IFERROR(IF(ج_ح_خرداد16[[#This Row],[حقوق پایه]]+ج_ح_خرداد16[[#This Row],[اضافه کاری]]+ج_ح_خرداد16[[#This Row],[حق مسکن]]+ج_ح_خرداد16[[#This Row],[حق و خواروبار]]&gt;حداکثر_حقوق_مشمول_بیمه_ماهانه,حداکثر_حقوق_مشمول_بیمه_ماهانه,ج_ح_خرداد16[[#This Row],[حقوق پایه]]+ج_ح_خرداد16[[#This Row],[اضافه کاری]]+ج_ح_خرداد16[[#This Row],[حق مسکن]]+ج_ح_خرداد16[[#This Row],[حق و خواروبار]]),"")</f>
        <v/>
      </c>
      <c r="Q110" s="46" t="str">
        <f>IFERROR(ج_ح_خرداد16[[#This Row],[حقوق پایه]]+ج_ح_خرداد16[[#This Row],[اضافه کاری]]-(2/7)*ج_ح_خرداد16[[#This Row],[بیمه پرداختنی]],"")</f>
        <v/>
      </c>
      <c r="R110" s="45"/>
      <c r="S110" s="45"/>
      <c r="T110" s="46" t="str">
        <f>IFERROR(ج_ح_خرداد16[[#This Row],[جمع ح و م م بیمه ]]*7%,"")</f>
        <v/>
      </c>
      <c r="U110" s="50" t="str">
        <f>IFERROR(IF(ج_ح_خرداد16[[#This Row],[جمع ح و م م مالیات]]&gt;=320000000,(ج_ح_خرداد16[[#This Row],[جمع ح و م م مالیات]]-320000000)*35%+61000000,
IF(ج_ح_خرداد16[[#This Row],[جمع ح و م م مالیات]]&gt;=240000000,(ج_ح_خرداد16[[#This Row],[جمع ح و م م مالیات]]-240000000)*30%+37000000,
IF(ج_ح_خرداد16[[#This Row],[جمع ح و م م مالیات]]&gt;=180000000,(ج_ح_خرداد16[[#This Row],[جمع ح و م م مالیات]]-180000000)*25%+22000000,
IF(ج_ح_خرداد16[[#This Row],[جمع ح و م م مالیات]]&gt;=120000000,(ج_ح_خرداد16[[#This Row],[جمع ح و م م مالیات]]-120000000)*20%+10000000,
IF(ج_ح_خرداد16[[#This Row],[جمع ح و م م مالیات]]&gt;=80000000,(ج_ح_خرداد16[[#This Row],[جمع ح و م م مالیات]]-80000000)*15%+4000000,
IF(ج_ح_خرداد16[[#This Row],[جمع ح و م م مالیات]]&gt;=40000000,(ج_ح_خرداد16[[#This Row],[جمع ح و م م مالیات]]-40000000)*10%,0)))))),"")</f>
        <v/>
      </c>
      <c r="V110" s="46" t="str">
        <f>IFERROR(ج_ح_خرداد16[[#This Row],[وام]]+ج_ح_خرداد16[[#This Row],[مساعده]]+ج_ح_خرداد16[[#This Row],[بیمه پرداختنی]]+ج_ح_خرداد16[[#This Row],[مالیات پرداختنی]],"")</f>
        <v/>
      </c>
      <c r="W110" s="46" t="str">
        <f>IFERROR(ج_ح_خرداد16[[#This Row],[جمع ح و م]]-ج_ح_خرداد16[[#This Row],[جمع کسورات]],"")</f>
        <v/>
      </c>
    </row>
    <row r="111" spans="2:23" ht="32.1" customHeight="1">
      <c r="B111" s="32">
        <f t="shared" si="1"/>
        <v>3</v>
      </c>
      <c r="C111" s="51"/>
      <c r="D111" s="52"/>
      <c r="E111" s="52" t="s">
        <v>124</v>
      </c>
      <c r="F111" s="53">
        <f>SUBTOTAL(109,ج_ح_خرداد16[کارکرد])</f>
        <v>31</v>
      </c>
      <c r="G111" s="54">
        <f>SUBTOTAL(109,ج_ح_خرداد16[[دستمزد روزانه ]])</f>
        <v>1000000</v>
      </c>
      <c r="H111" s="54">
        <f>SUBTOTAL(109,ج_ح_خرداد16[حقوق پایه])</f>
        <v>31000000</v>
      </c>
      <c r="I111" s="55">
        <f>SUBTOTAL(109,ج_ح_خرداد16[[مدت اضافه کاری ]])</f>
        <v>7.33</v>
      </c>
      <c r="J111" s="56">
        <f>SUBTOTAL(109,ج_ح_خرداد16[اضافه کاری])</f>
        <v>1400000</v>
      </c>
      <c r="K111" s="54">
        <f>SUBTOTAL(109,ج_ح_خرداد16[حق مسکن])</f>
        <v>0</v>
      </c>
      <c r="L111" s="57">
        <f>SUBTOTAL(109,ج_ح_خرداد16[تعداد فرزندان])</f>
        <v>1</v>
      </c>
      <c r="M111" s="54">
        <f>SUBTOTAL(109,ج_ح_خرداد16[حق اولاد])</f>
        <v>0</v>
      </c>
      <c r="N111" s="54">
        <f>SUBTOTAL(109,ج_ح_خرداد16[حق و خواروبار])</f>
        <v>0</v>
      </c>
      <c r="O111" s="54">
        <f>SUBTOTAL(109,ج_ح_خرداد16[جمع ح و م])</f>
        <v>32400000</v>
      </c>
      <c r="P111" s="54">
        <f>SUBTOTAL(109,ج_ح_خرداد16[[جمع ح و م م بیمه ]])</f>
        <v>0</v>
      </c>
      <c r="Q111" s="54">
        <f>SUBTOTAL(109,ج_ح_خرداد16[جمع ح و م م مالیات])</f>
        <v>0</v>
      </c>
      <c r="R111" s="54">
        <f>SUBTOTAL(109,ج_ح_خرداد16[وام])</f>
        <v>0</v>
      </c>
      <c r="S111" s="54">
        <f>SUBTOTAL(109,ج_ح_خرداد16[مساعده])</f>
        <v>0</v>
      </c>
      <c r="T111" s="54">
        <f>SUBTOTAL(109,ج_ح_خرداد16[بیمه پرداختنی])</f>
        <v>0</v>
      </c>
      <c r="U111" s="54">
        <f>SUBTOTAL(109,ج_ح_خرداد16[مالیات پرداختنی])</f>
        <v>0</v>
      </c>
      <c r="V111" s="54">
        <f>SUBTOTAL(109,ج_ح_خرداد16[جمع کسورات])</f>
        <v>0</v>
      </c>
      <c r="W111" s="54">
        <f>SUBTOTAL(109,ج_ح_خرداد16[خالص قابل پرداخت])</f>
        <v>0</v>
      </c>
    </row>
    <row r="112" spans="2:23" ht="8.1" customHeight="1"/>
    <row r="113" spans="1:23" s="33" customFormat="1" ht="39.950000000000003" customHeight="1">
      <c r="A113" s="34"/>
      <c r="B113" s="34"/>
      <c r="C113" s="109" t="s">
        <v>94</v>
      </c>
      <c r="D113" s="109"/>
      <c r="E113" s="109"/>
      <c r="F113" s="109"/>
      <c r="G113" s="109"/>
      <c r="H113" s="109"/>
      <c r="I113" s="109"/>
      <c r="J113" s="109"/>
      <c r="K113" s="109"/>
      <c r="L113" s="109"/>
      <c r="M113" s="109"/>
      <c r="N113" s="109"/>
      <c r="O113" s="109"/>
      <c r="P113" s="109"/>
      <c r="Q113" s="109"/>
      <c r="R113" s="109"/>
      <c r="S113" s="109"/>
      <c r="T113" s="109"/>
      <c r="U113" s="109"/>
      <c r="V113" s="109"/>
      <c r="W113" s="109"/>
    </row>
    <row r="114" spans="1:23" s="33" customFormat="1" ht="50.1" customHeight="1">
      <c r="C114" s="110" t="s">
        <v>128</v>
      </c>
      <c r="D114" s="110"/>
      <c r="E114" s="110"/>
      <c r="F114" s="110"/>
      <c r="G114" s="110"/>
      <c r="H114" s="110"/>
      <c r="I114" s="110"/>
      <c r="J114" s="110"/>
      <c r="K114" s="110"/>
      <c r="L114" s="110"/>
      <c r="M114" s="110"/>
      <c r="N114" s="110"/>
      <c r="O114" s="110"/>
      <c r="P114" s="110"/>
      <c r="Q114" s="110"/>
      <c r="R114" s="110"/>
      <c r="S114" s="110"/>
      <c r="T114" s="110"/>
      <c r="U114" s="110"/>
      <c r="V114" s="110"/>
      <c r="W114" s="110"/>
    </row>
    <row r="115" spans="1:23" s="35" customFormat="1" ht="50.1" customHeight="1">
      <c r="C115" s="104" t="s">
        <v>45</v>
      </c>
      <c r="D115" s="36" t="s">
        <v>96</v>
      </c>
      <c r="E115" s="36" t="s">
        <v>97</v>
      </c>
      <c r="F115" s="36" t="s">
        <v>98</v>
      </c>
      <c r="G115" s="36" t="s">
        <v>99</v>
      </c>
      <c r="H115" s="36" t="s">
        <v>100</v>
      </c>
      <c r="I115" s="36" t="s">
        <v>101</v>
      </c>
      <c r="J115" s="36" t="s">
        <v>102</v>
      </c>
      <c r="K115" s="36" t="s">
        <v>17</v>
      </c>
      <c r="L115" s="36" t="s">
        <v>103</v>
      </c>
      <c r="M115" s="36" t="s">
        <v>104</v>
      </c>
      <c r="N115" s="36" t="s">
        <v>105</v>
      </c>
      <c r="O115" s="36" t="s">
        <v>106</v>
      </c>
      <c r="P115" s="36" t="s">
        <v>107</v>
      </c>
      <c r="Q115" s="36" t="s">
        <v>108</v>
      </c>
      <c r="R115" s="36" t="s">
        <v>109</v>
      </c>
      <c r="S115" s="36" t="s">
        <v>110</v>
      </c>
      <c r="T115" s="36" t="s">
        <v>111</v>
      </c>
      <c r="U115" s="36" t="s">
        <v>112</v>
      </c>
      <c r="V115" s="36" t="s">
        <v>113</v>
      </c>
      <c r="W115" s="36" t="s">
        <v>114</v>
      </c>
    </row>
    <row r="116" spans="1:23" s="33" customFormat="1" ht="32.1" customHeight="1">
      <c r="C116" s="104"/>
      <c r="D116" s="37">
        <v>1</v>
      </c>
      <c r="E116" s="37">
        <v>2</v>
      </c>
      <c r="F116" s="37">
        <v>3</v>
      </c>
      <c r="G116" s="37">
        <v>4</v>
      </c>
      <c r="H116" s="37">
        <v>5</v>
      </c>
      <c r="I116" s="37">
        <v>6</v>
      </c>
      <c r="J116" s="37">
        <v>7</v>
      </c>
      <c r="K116" s="37">
        <v>8</v>
      </c>
      <c r="L116" s="37">
        <v>9</v>
      </c>
      <c r="M116" s="37">
        <v>10</v>
      </c>
      <c r="N116" s="37">
        <v>11</v>
      </c>
      <c r="O116" s="37">
        <v>12</v>
      </c>
      <c r="P116" s="37">
        <v>13</v>
      </c>
      <c r="Q116" s="37">
        <v>14</v>
      </c>
      <c r="R116" s="37">
        <v>15</v>
      </c>
      <c r="S116" s="37">
        <v>16</v>
      </c>
      <c r="T116" s="37">
        <v>17</v>
      </c>
      <c r="U116" s="37">
        <v>18</v>
      </c>
      <c r="V116" s="37">
        <v>19</v>
      </c>
      <c r="W116" s="38">
        <v>20</v>
      </c>
    </row>
    <row r="117" spans="1:23" s="33" customFormat="1" ht="20.100000000000001" customHeight="1">
      <c r="C117" s="39" t="s">
        <v>45</v>
      </c>
      <c r="D117" s="39" t="s">
        <v>96</v>
      </c>
      <c r="E117" s="39" t="s">
        <v>97</v>
      </c>
      <c r="F117" s="39" t="s">
        <v>98</v>
      </c>
      <c r="G117" s="39" t="s">
        <v>99</v>
      </c>
      <c r="H117" s="39" t="s">
        <v>100</v>
      </c>
      <c r="I117" s="39" t="s">
        <v>115</v>
      </c>
      <c r="J117" s="39" t="s">
        <v>102</v>
      </c>
      <c r="K117" s="39" t="s">
        <v>17</v>
      </c>
      <c r="L117" s="39" t="s">
        <v>116</v>
      </c>
      <c r="M117" s="39" t="s">
        <v>104</v>
      </c>
      <c r="N117" s="39" t="s">
        <v>117</v>
      </c>
      <c r="O117" s="39" t="s">
        <v>118</v>
      </c>
      <c r="P117" s="39" t="s">
        <v>119</v>
      </c>
      <c r="Q117" s="40" t="s">
        <v>120</v>
      </c>
      <c r="R117" s="39" t="s">
        <v>109</v>
      </c>
      <c r="S117" s="39" t="s">
        <v>110</v>
      </c>
      <c r="T117" s="40" t="s">
        <v>121</v>
      </c>
      <c r="U117" s="40" t="s">
        <v>14</v>
      </c>
      <c r="V117" s="39" t="s">
        <v>113</v>
      </c>
      <c r="W117" s="39" t="s">
        <v>122</v>
      </c>
    </row>
    <row r="118" spans="1:23" s="41" customFormat="1" ht="32.1" customHeight="1">
      <c r="B118" s="41">
        <f>B111+1</f>
        <v>4</v>
      </c>
      <c r="C118" s="42">
        <f>IF(ج_ح_تیر17[[#This Row],[نام]]&lt;&gt;"",ROW()-118+1,"")</f>
        <v>1</v>
      </c>
      <c r="D118" s="43" t="s">
        <v>126</v>
      </c>
      <c r="E118" s="43" t="s">
        <v>126</v>
      </c>
      <c r="F118" s="44">
        <v>31</v>
      </c>
      <c r="G118" s="45">
        <v>1000000</v>
      </c>
      <c r="H118" s="46">
        <f>IF(ج_ح_تیر17[[#This Row],[کارکرد]]*ج_ح_تیر17[[#This Row],[دستمزد روزانه ]]=0,"",ج_ح_تیر17[[#This Row],[کارکرد]]*ج_ح_تیر17[[#This Row],[دستمزد روزانه ]])</f>
        <v>31000000</v>
      </c>
      <c r="I118" s="47">
        <v>7.33</v>
      </c>
      <c r="J118" s="48">
        <f>(ج_ح_تیر17[[#This Row],[دستمزد روزانه ]]/7.33)*1.4*ج_ح_تیر17[[#This Row],[مدت اضافه کاری ]]</f>
        <v>1400000</v>
      </c>
      <c r="K118" s="46">
        <f>IF(ج_ح_تیر17[[#This Row],[کارکرد]]="","",ج_ح_تیر17[[#This Row],[کارکرد]]*حق_مسکن/30)</f>
        <v>0</v>
      </c>
      <c r="L118" s="49">
        <v>1</v>
      </c>
      <c r="M118" s="46">
        <f>IF(ج_ح_تیر17[[#This Row],[تعداد فرزندان]]="","",ج_ح_تیر17[[#This Row],[کارکرد]]/31*3*ج_ح_تیر17[[#This Row],[تعداد فرزندان]]*حداقل_حقوق_پایه_روزانه)</f>
        <v>0</v>
      </c>
      <c r="N118" s="46">
        <f>IF(ج_ح_تیر17[[#This Row],[کارکرد]]="","",ج_ح_تیر17[[#This Row],[کارکرد]]*حق_خواربار/30)</f>
        <v>0</v>
      </c>
      <c r="O118" s="46">
        <f>IFERROR(ج_ح_تیر17[[#This Row],[حقوق پایه]]+ج_ح_تیر17[[#This Row],[اضافه کاری]]+ج_ح_تیر17[[#This Row],[حق مسکن]]+ج_ح_تیر17[[#This Row],[حق اولاد]]+ج_ح_تیر17[[#This Row],[حق و خواروبار]],"")</f>
        <v>32400000</v>
      </c>
      <c r="P118"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18" s="46" t="str">
        <f>IFERROR(ج_ح_تیر17[[#This Row],[حقوق پایه]]+ج_ح_تیر17[[#This Row],[اضافه کاری]]-(2/7)*ج_ح_تیر17[[#This Row],[بیمه پرداختنی]],"")</f>
        <v/>
      </c>
      <c r="R118" s="45"/>
      <c r="S118" s="45"/>
      <c r="T118" s="46" t="str">
        <f>IFERROR(ج_ح_تیر17[[#This Row],[جمع ح و م م بیمه ]]*7%,"")</f>
        <v/>
      </c>
      <c r="U118"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18" s="46" t="str">
        <f>IFERROR(ج_ح_تیر17[[#This Row],[وام]]+ج_ح_تیر17[[#This Row],[مساعده]]+ج_ح_تیر17[[#This Row],[بیمه پرداختنی]]+ج_ح_تیر17[[#This Row],[مالیات پرداختنی]],"")</f>
        <v/>
      </c>
      <c r="W118" s="46" t="str">
        <f>IFERROR(ج_ح_تیر17[[#This Row],[جمع ح و م]]-ج_ح_تیر17[[#This Row],[جمع کسورات]],"")</f>
        <v/>
      </c>
    </row>
    <row r="119" spans="1:23" s="41" customFormat="1" ht="32.1" customHeight="1">
      <c r="B119" s="41">
        <f>B118</f>
        <v>4</v>
      </c>
      <c r="C119" s="42" t="str">
        <f>IF(ج_ح_تیر17[[#This Row],[نام]]&lt;&gt;"",ROW()-118+1,"")</f>
        <v/>
      </c>
      <c r="D119" s="43"/>
      <c r="E119" s="43"/>
      <c r="F119" s="44"/>
      <c r="G119" s="45"/>
      <c r="H119" s="46" t="str">
        <f>IF(ج_ح_تیر17[[#This Row],[کارکرد]]*ج_ح_تیر17[[#This Row],[دستمزد روزانه ]]=0,"",ج_ح_تیر17[[#This Row],[کارکرد]]*ج_ح_تیر17[[#This Row],[دستمزد روزانه ]])</f>
        <v/>
      </c>
      <c r="I119" s="47"/>
      <c r="J119" s="48">
        <f>(ج_ح_تیر17[[#This Row],[دستمزد روزانه ]]/7.33)*1.4*ج_ح_تیر17[[#This Row],[مدت اضافه کاری ]]</f>
        <v>0</v>
      </c>
      <c r="K119" s="46" t="str">
        <f>IF(ج_ح_تیر17[[#This Row],[کارکرد]]="","",ج_ح_تیر17[[#This Row],[کارکرد]]*حق_مسکن/30)</f>
        <v/>
      </c>
      <c r="L119" s="49"/>
      <c r="M119" s="46" t="str">
        <f>IF(ج_ح_تیر17[[#This Row],[تعداد فرزندان]]="","",ج_ح_تیر17[[#This Row],[کارکرد]]/31*3*ج_ح_تیر17[[#This Row],[تعداد فرزندان]]*حداقل_حقوق_پایه_روزانه)</f>
        <v/>
      </c>
      <c r="N119" s="46" t="str">
        <f>IF(ج_ح_تیر17[[#This Row],[کارکرد]]="","",ج_ح_تیر17[[#This Row],[کارکرد]]*حق_خواربار/30)</f>
        <v/>
      </c>
      <c r="O119" s="46" t="str">
        <f>IFERROR(ج_ح_تیر17[[#This Row],[حقوق پایه]]+ج_ح_تیر17[[#This Row],[اضافه کاری]]+ج_ح_تیر17[[#This Row],[حق مسکن]]+ج_ح_تیر17[[#This Row],[حق اولاد]]+ج_ح_تیر17[[#This Row],[حق و خواروبار]],"")</f>
        <v/>
      </c>
      <c r="P119"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19" s="46" t="str">
        <f>IFERROR(ج_ح_تیر17[[#This Row],[حقوق پایه]]+ج_ح_تیر17[[#This Row],[اضافه کاری]]-(2/7)*ج_ح_تیر17[[#This Row],[بیمه پرداختنی]],"")</f>
        <v/>
      </c>
      <c r="R119" s="45"/>
      <c r="S119" s="45"/>
      <c r="T119" s="46" t="str">
        <f>IFERROR(ج_ح_تیر17[[#This Row],[جمع ح و م م بیمه ]]*7%,"")</f>
        <v/>
      </c>
      <c r="U119"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19" s="46" t="str">
        <f>IFERROR(ج_ح_تیر17[[#This Row],[وام]]+ج_ح_تیر17[[#This Row],[مساعده]]+ج_ح_تیر17[[#This Row],[بیمه پرداختنی]]+ج_ح_تیر17[[#This Row],[مالیات پرداختنی]],"")</f>
        <v/>
      </c>
      <c r="W119" s="46" t="str">
        <f>IFERROR(ج_ح_تیر17[[#This Row],[جمع ح و م]]-ج_ح_تیر17[[#This Row],[جمع کسورات]],"")</f>
        <v/>
      </c>
    </row>
    <row r="120" spans="1:23" s="41" customFormat="1" ht="32.1" customHeight="1">
      <c r="B120" s="41">
        <f t="shared" ref="B120:B148" si="2">B119</f>
        <v>4</v>
      </c>
      <c r="C120" s="42" t="str">
        <f>IF(ج_ح_تیر17[[#This Row],[نام]]&lt;&gt;"",ROW()-118+1,"")</f>
        <v/>
      </c>
      <c r="D120" s="43"/>
      <c r="E120" s="43"/>
      <c r="F120" s="44"/>
      <c r="G120" s="45"/>
      <c r="H120" s="46" t="str">
        <f>IF(ج_ح_تیر17[[#This Row],[کارکرد]]*ج_ح_تیر17[[#This Row],[دستمزد روزانه ]]=0,"",ج_ح_تیر17[[#This Row],[کارکرد]]*ج_ح_تیر17[[#This Row],[دستمزد روزانه ]])</f>
        <v/>
      </c>
      <c r="I120" s="47"/>
      <c r="J120" s="48">
        <f>(ج_ح_تیر17[[#This Row],[دستمزد روزانه ]]/7.33)*1.4*ج_ح_تیر17[[#This Row],[مدت اضافه کاری ]]</f>
        <v>0</v>
      </c>
      <c r="K120" s="46" t="str">
        <f>IF(ج_ح_تیر17[[#This Row],[کارکرد]]="","",ج_ح_تیر17[[#This Row],[کارکرد]]*حق_مسکن/30)</f>
        <v/>
      </c>
      <c r="L120" s="49"/>
      <c r="M120" s="46" t="str">
        <f>IF(ج_ح_تیر17[[#This Row],[تعداد فرزندان]]="","",ج_ح_تیر17[[#This Row],[کارکرد]]/31*3*ج_ح_تیر17[[#This Row],[تعداد فرزندان]]*حداقل_حقوق_پایه_روزانه)</f>
        <v/>
      </c>
      <c r="N120" s="46" t="str">
        <f>IF(ج_ح_تیر17[[#This Row],[کارکرد]]="","",ج_ح_تیر17[[#This Row],[کارکرد]]*حق_خواربار/30)</f>
        <v/>
      </c>
      <c r="O120" s="46" t="str">
        <f>IFERROR(ج_ح_تیر17[[#This Row],[حقوق پایه]]+ج_ح_تیر17[[#This Row],[اضافه کاری]]+ج_ح_تیر17[[#This Row],[حق مسکن]]+ج_ح_تیر17[[#This Row],[حق اولاد]]+ج_ح_تیر17[[#This Row],[حق و خواروبار]],"")</f>
        <v/>
      </c>
      <c r="P120"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20" s="46" t="str">
        <f>IFERROR(ج_ح_تیر17[[#This Row],[حقوق پایه]]+ج_ح_تیر17[[#This Row],[اضافه کاری]]-(2/7)*ج_ح_تیر17[[#This Row],[بیمه پرداختنی]],"")</f>
        <v/>
      </c>
      <c r="R120" s="45"/>
      <c r="S120" s="45"/>
      <c r="T120" s="46" t="str">
        <f>IFERROR(ج_ح_تیر17[[#This Row],[جمع ح و م م بیمه ]]*7%,"")</f>
        <v/>
      </c>
      <c r="U120"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20" s="46" t="str">
        <f>IFERROR(ج_ح_تیر17[[#This Row],[وام]]+ج_ح_تیر17[[#This Row],[مساعده]]+ج_ح_تیر17[[#This Row],[بیمه پرداختنی]]+ج_ح_تیر17[[#This Row],[مالیات پرداختنی]],"")</f>
        <v/>
      </c>
      <c r="W120" s="46" t="str">
        <f>IFERROR(ج_ح_تیر17[[#This Row],[جمع ح و م]]-ج_ح_تیر17[[#This Row],[جمع کسورات]],"")</f>
        <v/>
      </c>
    </row>
    <row r="121" spans="1:23" s="41" customFormat="1" ht="32.1" customHeight="1">
      <c r="B121" s="41">
        <f t="shared" si="2"/>
        <v>4</v>
      </c>
      <c r="C121" s="42" t="str">
        <f>IF(ج_ح_تیر17[[#This Row],[نام]]&lt;&gt;"",ROW()-118+1,"")</f>
        <v/>
      </c>
      <c r="D121" s="43"/>
      <c r="E121" s="43"/>
      <c r="F121" s="44"/>
      <c r="G121" s="45"/>
      <c r="H121" s="46" t="str">
        <f>IF(ج_ح_تیر17[[#This Row],[کارکرد]]*ج_ح_تیر17[[#This Row],[دستمزد روزانه ]]=0,"",ج_ح_تیر17[[#This Row],[کارکرد]]*ج_ح_تیر17[[#This Row],[دستمزد روزانه ]])</f>
        <v/>
      </c>
      <c r="I121" s="47"/>
      <c r="J121" s="48">
        <f>(ج_ح_تیر17[[#This Row],[دستمزد روزانه ]]/7.33)*1.4*ج_ح_تیر17[[#This Row],[مدت اضافه کاری ]]</f>
        <v>0</v>
      </c>
      <c r="K121" s="46" t="str">
        <f>IF(ج_ح_تیر17[[#This Row],[کارکرد]]="","",ج_ح_تیر17[[#This Row],[کارکرد]]*حق_مسکن/30)</f>
        <v/>
      </c>
      <c r="L121" s="49"/>
      <c r="M121" s="46" t="str">
        <f>IF(ج_ح_تیر17[[#This Row],[تعداد فرزندان]]="","",ج_ح_تیر17[[#This Row],[کارکرد]]/31*3*ج_ح_تیر17[[#This Row],[تعداد فرزندان]]*حداقل_حقوق_پایه_روزانه)</f>
        <v/>
      </c>
      <c r="N121" s="46" t="str">
        <f>IF(ج_ح_تیر17[[#This Row],[کارکرد]]="","",ج_ح_تیر17[[#This Row],[کارکرد]]*حق_خواربار/30)</f>
        <v/>
      </c>
      <c r="O121" s="46" t="str">
        <f>IFERROR(ج_ح_تیر17[[#This Row],[حقوق پایه]]+ج_ح_تیر17[[#This Row],[اضافه کاری]]+ج_ح_تیر17[[#This Row],[حق مسکن]]+ج_ح_تیر17[[#This Row],[حق اولاد]]+ج_ح_تیر17[[#This Row],[حق و خواروبار]],"")</f>
        <v/>
      </c>
      <c r="P121"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21" s="46" t="str">
        <f>IFERROR(ج_ح_تیر17[[#This Row],[حقوق پایه]]+ج_ح_تیر17[[#This Row],[اضافه کاری]]-(2/7)*ج_ح_تیر17[[#This Row],[بیمه پرداختنی]],"")</f>
        <v/>
      </c>
      <c r="R121" s="45"/>
      <c r="S121" s="45"/>
      <c r="T121" s="46" t="str">
        <f>IFERROR(ج_ح_تیر17[[#This Row],[جمع ح و م م بیمه ]]*7%,"")</f>
        <v/>
      </c>
      <c r="U121"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21" s="46" t="str">
        <f>IFERROR(ج_ح_تیر17[[#This Row],[وام]]+ج_ح_تیر17[[#This Row],[مساعده]]+ج_ح_تیر17[[#This Row],[بیمه پرداختنی]]+ج_ح_تیر17[[#This Row],[مالیات پرداختنی]],"")</f>
        <v/>
      </c>
      <c r="W121" s="46" t="str">
        <f>IFERROR(ج_ح_تیر17[[#This Row],[جمع ح و م]]-ج_ح_تیر17[[#This Row],[جمع کسورات]],"")</f>
        <v/>
      </c>
    </row>
    <row r="122" spans="1:23" s="41" customFormat="1" ht="32.1" customHeight="1">
      <c r="B122" s="41">
        <f t="shared" si="2"/>
        <v>4</v>
      </c>
      <c r="C122" s="42" t="str">
        <f>IF(ج_ح_تیر17[[#This Row],[نام]]&lt;&gt;"",ROW()-118+1,"")</f>
        <v/>
      </c>
      <c r="D122" s="43"/>
      <c r="E122" s="43"/>
      <c r="F122" s="44"/>
      <c r="G122" s="45"/>
      <c r="H122" s="46" t="str">
        <f>IF(ج_ح_تیر17[[#This Row],[کارکرد]]*ج_ح_تیر17[[#This Row],[دستمزد روزانه ]]=0,"",ج_ح_تیر17[[#This Row],[کارکرد]]*ج_ح_تیر17[[#This Row],[دستمزد روزانه ]])</f>
        <v/>
      </c>
      <c r="I122" s="47"/>
      <c r="J122" s="48">
        <f>(ج_ح_تیر17[[#This Row],[دستمزد روزانه ]]/7.33)*1.4*ج_ح_تیر17[[#This Row],[مدت اضافه کاری ]]</f>
        <v>0</v>
      </c>
      <c r="K122" s="46" t="str">
        <f>IF(ج_ح_تیر17[[#This Row],[کارکرد]]="","",ج_ح_تیر17[[#This Row],[کارکرد]]*حق_مسکن/30)</f>
        <v/>
      </c>
      <c r="L122" s="49"/>
      <c r="M122" s="46" t="str">
        <f>IF(ج_ح_تیر17[[#This Row],[تعداد فرزندان]]="","",ج_ح_تیر17[[#This Row],[کارکرد]]/31*3*ج_ح_تیر17[[#This Row],[تعداد فرزندان]]*حداقل_حقوق_پایه_روزانه)</f>
        <v/>
      </c>
      <c r="N122" s="46" t="str">
        <f>IF(ج_ح_تیر17[[#This Row],[کارکرد]]="","",ج_ح_تیر17[[#This Row],[کارکرد]]*حق_خواربار/30)</f>
        <v/>
      </c>
      <c r="O122" s="46" t="str">
        <f>IFERROR(ج_ح_تیر17[[#This Row],[حقوق پایه]]+ج_ح_تیر17[[#This Row],[اضافه کاری]]+ج_ح_تیر17[[#This Row],[حق مسکن]]+ج_ح_تیر17[[#This Row],[حق اولاد]]+ج_ح_تیر17[[#This Row],[حق و خواروبار]],"")</f>
        <v/>
      </c>
      <c r="P122"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22" s="46" t="str">
        <f>IFERROR(ج_ح_تیر17[[#This Row],[حقوق پایه]]+ج_ح_تیر17[[#This Row],[اضافه کاری]]-(2/7)*ج_ح_تیر17[[#This Row],[بیمه پرداختنی]],"")</f>
        <v/>
      </c>
      <c r="R122" s="45"/>
      <c r="S122" s="45"/>
      <c r="T122" s="46" t="str">
        <f>IFERROR(ج_ح_تیر17[[#This Row],[جمع ح و م م بیمه ]]*7%,"")</f>
        <v/>
      </c>
      <c r="U122"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22" s="46" t="str">
        <f>IFERROR(ج_ح_تیر17[[#This Row],[وام]]+ج_ح_تیر17[[#This Row],[مساعده]]+ج_ح_تیر17[[#This Row],[بیمه پرداختنی]]+ج_ح_تیر17[[#This Row],[مالیات پرداختنی]],"")</f>
        <v/>
      </c>
      <c r="W122" s="46" t="str">
        <f>IFERROR(ج_ح_تیر17[[#This Row],[جمع ح و م]]-ج_ح_تیر17[[#This Row],[جمع کسورات]],"")</f>
        <v/>
      </c>
    </row>
    <row r="123" spans="1:23" s="41" customFormat="1" ht="32.1" customHeight="1">
      <c r="B123" s="41">
        <f t="shared" si="2"/>
        <v>4</v>
      </c>
      <c r="C123" s="42" t="str">
        <f>IF(ج_ح_تیر17[[#This Row],[نام]]&lt;&gt;"",ROW()-118+1,"")</f>
        <v/>
      </c>
      <c r="D123" s="43"/>
      <c r="E123" s="43"/>
      <c r="F123" s="44"/>
      <c r="G123" s="45"/>
      <c r="H123" s="46" t="str">
        <f>IF(ج_ح_تیر17[[#This Row],[کارکرد]]*ج_ح_تیر17[[#This Row],[دستمزد روزانه ]]=0,"",ج_ح_تیر17[[#This Row],[کارکرد]]*ج_ح_تیر17[[#This Row],[دستمزد روزانه ]])</f>
        <v/>
      </c>
      <c r="I123" s="47"/>
      <c r="J123" s="48">
        <f>(ج_ح_تیر17[[#This Row],[دستمزد روزانه ]]/7.33)*1.4*ج_ح_تیر17[[#This Row],[مدت اضافه کاری ]]</f>
        <v>0</v>
      </c>
      <c r="K123" s="46" t="str">
        <f>IF(ج_ح_تیر17[[#This Row],[کارکرد]]="","",ج_ح_تیر17[[#This Row],[کارکرد]]*حق_مسکن/30)</f>
        <v/>
      </c>
      <c r="L123" s="49"/>
      <c r="M123" s="46" t="str">
        <f>IF(ج_ح_تیر17[[#This Row],[تعداد فرزندان]]="","",ج_ح_تیر17[[#This Row],[کارکرد]]/31*3*ج_ح_تیر17[[#This Row],[تعداد فرزندان]]*حداقل_حقوق_پایه_روزانه)</f>
        <v/>
      </c>
      <c r="N123" s="46" t="str">
        <f>IF(ج_ح_تیر17[[#This Row],[کارکرد]]="","",ج_ح_تیر17[[#This Row],[کارکرد]]*حق_خواربار/30)</f>
        <v/>
      </c>
      <c r="O123" s="46" t="str">
        <f>IFERROR(ج_ح_تیر17[[#This Row],[حقوق پایه]]+ج_ح_تیر17[[#This Row],[اضافه کاری]]+ج_ح_تیر17[[#This Row],[حق مسکن]]+ج_ح_تیر17[[#This Row],[حق اولاد]]+ج_ح_تیر17[[#This Row],[حق و خواروبار]],"")</f>
        <v/>
      </c>
      <c r="P123"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23" s="46" t="str">
        <f>IFERROR(ج_ح_تیر17[[#This Row],[حقوق پایه]]+ج_ح_تیر17[[#This Row],[اضافه کاری]]-(2/7)*ج_ح_تیر17[[#This Row],[بیمه پرداختنی]],"")</f>
        <v/>
      </c>
      <c r="R123" s="45"/>
      <c r="S123" s="45"/>
      <c r="T123" s="46" t="str">
        <f>IFERROR(ج_ح_تیر17[[#This Row],[جمع ح و م م بیمه ]]*7%,"")</f>
        <v/>
      </c>
      <c r="U123"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23" s="46" t="str">
        <f>IFERROR(ج_ح_تیر17[[#This Row],[وام]]+ج_ح_تیر17[[#This Row],[مساعده]]+ج_ح_تیر17[[#This Row],[بیمه پرداختنی]]+ج_ح_تیر17[[#This Row],[مالیات پرداختنی]],"")</f>
        <v/>
      </c>
      <c r="W123" s="46" t="str">
        <f>IFERROR(ج_ح_تیر17[[#This Row],[جمع ح و م]]-ج_ح_تیر17[[#This Row],[جمع کسورات]],"")</f>
        <v/>
      </c>
    </row>
    <row r="124" spans="1:23" s="41" customFormat="1" ht="32.1" customHeight="1">
      <c r="B124" s="41">
        <f t="shared" si="2"/>
        <v>4</v>
      </c>
      <c r="C124" s="42" t="str">
        <f>IF(ج_ح_تیر17[[#This Row],[نام]]&lt;&gt;"",ROW()-118+1,"")</f>
        <v/>
      </c>
      <c r="D124" s="43"/>
      <c r="E124" s="43"/>
      <c r="F124" s="44"/>
      <c r="G124" s="45"/>
      <c r="H124" s="46" t="str">
        <f>IF(ج_ح_تیر17[[#This Row],[کارکرد]]*ج_ح_تیر17[[#This Row],[دستمزد روزانه ]]=0,"",ج_ح_تیر17[[#This Row],[کارکرد]]*ج_ح_تیر17[[#This Row],[دستمزد روزانه ]])</f>
        <v/>
      </c>
      <c r="I124" s="47"/>
      <c r="J124" s="48">
        <f>(ج_ح_تیر17[[#This Row],[دستمزد روزانه ]]/7.33)*1.4*ج_ح_تیر17[[#This Row],[مدت اضافه کاری ]]</f>
        <v>0</v>
      </c>
      <c r="K124" s="46" t="str">
        <f>IF(ج_ح_تیر17[[#This Row],[کارکرد]]="","",ج_ح_تیر17[[#This Row],[کارکرد]]*حق_مسکن/30)</f>
        <v/>
      </c>
      <c r="L124" s="49"/>
      <c r="M124" s="46" t="str">
        <f>IF(ج_ح_تیر17[[#This Row],[تعداد فرزندان]]="","",ج_ح_تیر17[[#This Row],[کارکرد]]/31*3*ج_ح_تیر17[[#This Row],[تعداد فرزندان]]*حداقل_حقوق_پایه_روزانه)</f>
        <v/>
      </c>
      <c r="N124" s="46" t="str">
        <f>IF(ج_ح_تیر17[[#This Row],[کارکرد]]="","",ج_ح_تیر17[[#This Row],[کارکرد]]*حق_خواربار/30)</f>
        <v/>
      </c>
      <c r="O124" s="46" t="str">
        <f>IFERROR(ج_ح_تیر17[[#This Row],[حقوق پایه]]+ج_ح_تیر17[[#This Row],[اضافه کاری]]+ج_ح_تیر17[[#This Row],[حق مسکن]]+ج_ح_تیر17[[#This Row],[حق اولاد]]+ج_ح_تیر17[[#This Row],[حق و خواروبار]],"")</f>
        <v/>
      </c>
      <c r="P124"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24" s="46" t="str">
        <f>IFERROR(ج_ح_تیر17[[#This Row],[حقوق پایه]]+ج_ح_تیر17[[#This Row],[اضافه کاری]]-(2/7)*ج_ح_تیر17[[#This Row],[بیمه پرداختنی]],"")</f>
        <v/>
      </c>
      <c r="R124" s="45"/>
      <c r="S124" s="45"/>
      <c r="T124" s="46" t="str">
        <f>IFERROR(ج_ح_تیر17[[#This Row],[جمع ح و م م بیمه ]]*7%,"")</f>
        <v/>
      </c>
      <c r="U124"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24" s="46" t="str">
        <f>IFERROR(ج_ح_تیر17[[#This Row],[وام]]+ج_ح_تیر17[[#This Row],[مساعده]]+ج_ح_تیر17[[#This Row],[بیمه پرداختنی]]+ج_ح_تیر17[[#This Row],[مالیات پرداختنی]],"")</f>
        <v/>
      </c>
      <c r="W124" s="46" t="str">
        <f>IFERROR(ج_ح_تیر17[[#This Row],[جمع ح و م]]-ج_ح_تیر17[[#This Row],[جمع کسورات]],"")</f>
        <v/>
      </c>
    </row>
    <row r="125" spans="1:23" s="41" customFormat="1" ht="32.1" customHeight="1">
      <c r="B125" s="41">
        <f t="shared" si="2"/>
        <v>4</v>
      </c>
      <c r="C125" s="42" t="str">
        <f>IF(ج_ح_تیر17[[#This Row],[نام]]&lt;&gt;"",ROW()-118+1,"")</f>
        <v/>
      </c>
      <c r="D125" s="43"/>
      <c r="E125" s="43"/>
      <c r="F125" s="44"/>
      <c r="G125" s="45"/>
      <c r="H125" s="46" t="str">
        <f>IF(ج_ح_تیر17[[#This Row],[کارکرد]]*ج_ح_تیر17[[#This Row],[دستمزد روزانه ]]=0,"",ج_ح_تیر17[[#This Row],[کارکرد]]*ج_ح_تیر17[[#This Row],[دستمزد روزانه ]])</f>
        <v/>
      </c>
      <c r="I125" s="47"/>
      <c r="J125" s="48">
        <f>(ج_ح_تیر17[[#This Row],[دستمزد روزانه ]]/7.33)*1.4*ج_ح_تیر17[[#This Row],[مدت اضافه کاری ]]</f>
        <v>0</v>
      </c>
      <c r="K125" s="46" t="str">
        <f>IF(ج_ح_تیر17[[#This Row],[کارکرد]]="","",ج_ح_تیر17[[#This Row],[کارکرد]]*حق_مسکن/30)</f>
        <v/>
      </c>
      <c r="L125" s="49"/>
      <c r="M125" s="46" t="str">
        <f>IF(ج_ح_تیر17[[#This Row],[تعداد فرزندان]]="","",ج_ح_تیر17[[#This Row],[کارکرد]]/31*3*ج_ح_تیر17[[#This Row],[تعداد فرزندان]]*حداقل_حقوق_پایه_روزانه)</f>
        <v/>
      </c>
      <c r="N125" s="46" t="str">
        <f>IF(ج_ح_تیر17[[#This Row],[کارکرد]]="","",ج_ح_تیر17[[#This Row],[کارکرد]]*حق_خواربار/30)</f>
        <v/>
      </c>
      <c r="O125" s="46" t="str">
        <f>IFERROR(ج_ح_تیر17[[#This Row],[حقوق پایه]]+ج_ح_تیر17[[#This Row],[اضافه کاری]]+ج_ح_تیر17[[#This Row],[حق مسکن]]+ج_ح_تیر17[[#This Row],[حق اولاد]]+ج_ح_تیر17[[#This Row],[حق و خواروبار]],"")</f>
        <v/>
      </c>
      <c r="P125"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25" s="46" t="str">
        <f>IFERROR(ج_ح_تیر17[[#This Row],[حقوق پایه]]+ج_ح_تیر17[[#This Row],[اضافه کاری]]-(2/7)*ج_ح_تیر17[[#This Row],[بیمه پرداختنی]],"")</f>
        <v/>
      </c>
      <c r="R125" s="45"/>
      <c r="S125" s="45"/>
      <c r="T125" s="46" t="str">
        <f>IFERROR(ج_ح_تیر17[[#This Row],[جمع ح و م م بیمه ]]*7%,"")</f>
        <v/>
      </c>
      <c r="U125"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25" s="46" t="str">
        <f>IFERROR(ج_ح_تیر17[[#This Row],[وام]]+ج_ح_تیر17[[#This Row],[مساعده]]+ج_ح_تیر17[[#This Row],[بیمه پرداختنی]]+ج_ح_تیر17[[#This Row],[مالیات پرداختنی]],"")</f>
        <v/>
      </c>
      <c r="W125" s="46" t="str">
        <f>IFERROR(ج_ح_تیر17[[#This Row],[جمع ح و م]]-ج_ح_تیر17[[#This Row],[جمع کسورات]],"")</f>
        <v/>
      </c>
    </row>
    <row r="126" spans="1:23" s="41" customFormat="1" ht="32.1" customHeight="1">
      <c r="B126" s="41">
        <f t="shared" si="2"/>
        <v>4</v>
      </c>
      <c r="C126" s="42" t="str">
        <f>IF(ج_ح_تیر17[[#This Row],[نام]]&lt;&gt;"",ROW()-118+1,"")</f>
        <v/>
      </c>
      <c r="D126" s="43"/>
      <c r="E126" s="43"/>
      <c r="F126" s="44"/>
      <c r="G126" s="45"/>
      <c r="H126" s="46" t="str">
        <f>IF(ج_ح_تیر17[[#This Row],[کارکرد]]*ج_ح_تیر17[[#This Row],[دستمزد روزانه ]]=0,"",ج_ح_تیر17[[#This Row],[کارکرد]]*ج_ح_تیر17[[#This Row],[دستمزد روزانه ]])</f>
        <v/>
      </c>
      <c r="I126" s="47"/>
      <c r="J126" s="48">
        <f>(ج_ح_تیر17[[#This Row],[دستمزد روزانه ]]/7.33)*1.4*ج_ح_تیر17[[#This Row],[مدت اضافه کاری ]]</f>
        <v>0</v>
      </c>
      <c r="K126" s="46" t="str">
        <f>IF(ج_ح_تیر17[[#This Row],[کارکرد]]="","",ج_ح_تیر17[[#This Row],[کارکرد]]*حق_مسکن/30)</f>
        <v/>
      </c>
      <c r="L126" s="49"/>
      <c r="M126" s="46" t="str">
        <f>IF(ج_ح_تیر17[[#This Row],[تعداد فرزندان]]="","",ج_ح_تیر17[[#This Row],[کارکرد]]/31*3*ج_ح_تیر17[[#This Row],[تعداد فرزندان]]*حداقل_حقوق_پایه_روزانه)</f>
        <v/>
      </c>
      <c r="N126" s="46" t="str">
        <f>IF(ج_ح_تیر17[[#This Row],[کارکرد]]="","",ج_ح_تیر17[[#This Row],[کارکرد]]*حق_خواربار/30)</f>
        <v/>
      </c>
      <c r="O126" s="46" t="str">
        <f>IFERROR(ج_ح_تیر17[[#This Row],[حقوق پایه]]+ج_ح_تیر17[[#This Row],[اضافه کاری]]+ج_ح_تیر17[[#This Row],[حق مسکن]]+ج_ح_تیر17[[#This Row],[حق اولاد]]+ج_ح_تیر17[[#This Row],[حق و خواروبار]],"")</f>
        <v/>
      </c>
      <c r="P126"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26" s="46" t="str">
        <f>IFERROR(ج_ح_تیر17[[#This Row],[حقوق پایه]]+ج_ح_تیر17[[#This Row],[اضافه کاری]]-(2/7)*ج_ح_تیر17[[#This Row],[بیمه پرداختنی]],"")</f>
        <v/>
      </c>
      <c r="R126" s="45"/>
      <c r="S126" s="45"/>
      <c r="T126" s="46" t="str">
        <f>IFERROR(ج_ح_تیر17[[#This Row],[جمع ح و م م بیمه ]]*7%,"")</f>
        <v/>
      </c>
      <c r="U126"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26" s="46" t="str">
        <f>IFERROR(ج_ح_تیر17[[#This Row],[وام]]+ج_ح_تیر17[[#This Row],[مساعده]]+ج_ح_تیر17[[#This Row],[بیمه پرداختنی]]+ج_ح_تیر17[[#This Row],[مالیات پرداختنی]],"")</f>
        <v/>
      </c>
      <c r="W126" s="46" t="str">
        <f>IFERROR(ج_ح_تیر17[[#This Row],[جمع ح و م]]-ج_ح_تیر17[[#This Row],[جمع کسورات]],"")</f>
        <v/>
      </c>
    </row>
    <row r="127" spans="1:23" s="41" customFormat="1" ht="32.1" customHeight="1">
      <c r="B127" s="41">
        <f t="shared" si="2"/>
        <v>4</v>
      </c>
      <c r="C127" s="42" t="str">
        <f>IF(ج_ح_تیر17[[#This Row],[نام]]&lt;&gt;"",ROW()-118+1,"")</f>
        <v/>
      </c>
      <c r="D127" s="43"/>
      <c r="E127" s="43"/>
      <c r="F127" s="44"/>
      <c r="G127" s="45"/>
      <c r="H127" s="46" t="str">
        <f>IF(ج_ح_تیر17[[#This Row],[کارکرد]]*ج_ح_تیر17[[#This Row],[دستمزد روزانه ]]=0,"",ج_ح_تیر17[[#This Row],[کارکرد]]*ج_ح_تیر17[[#This Row],[دستمزد روزانه ]])</f>
        <v/>
      </c>
      <c r="I127" s="47"/>
      <c r="J127" s="48">
        <f>(ج_ح_تیر17[[#This Row],[دستمزد روزانه ]]/7.33)*1.4*ج_ح_تیر17[[#This Row],[مدت اضافه کاری ]]</f>
        <v>0</v>
      </c>
      <c r="K127" s="46" t="str">
        <f>IF(ج_ح_تیر17[[#This Row],[کارکرد]]="","",ج_ح_تیر17[[#This Row],[کارکرد]]*حق_مسکن/30)</f>
        <v/>
      </c>
      <c r="L127" s="49"/>
      <c r="M127" s="46" t="str">
        <f>IF(ج_ح_تیر17[[#This Row],[تعداد فرزندان]]="","",ج_ح_تیر17[[#This Row],[کارکرد]]/31*3*ج_ح_تیر17[[#This Row],[تعداد فرزندان]]*حداقل_حقوق_پایه_روزانه)</f>
        <v/>
      </c>
      <c r="N127" s="46" t="str">
        <f>IF(ج_ح_تیر17[[#This Row],[کارکرد]]="","",ج_ح_تیر17[[#This Row],[کارکرد]]*حق_خواربار/30)</f>
        <v/>
      </c>
      <c r="O127" s="46" t="str">
        <f>IFERROR(ج_ح_تیر17[[#This Row],[حقوق پایه]]+ج_ح_تیر17[[#This Row],[اضافه کاری]]+ج_ح_تیر17[[#This Row],[حق مسکن]]+ج_ح_تیر17[[#This Row],[حق اولاد]]+ج_ح_تیر17[[#This Row],[حق و خواروبار]],"")</f>
        <v/>
      </c>
      <c r="P127"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27" s="46" t="str">
        <f>IFERROR(ج_ح_تیر17[[#This Row],[حقوق پایه]]+ج_ح_تیر17[[#This Row],[اضافه کاری]]-(2/7)*ج_ح_تیر17[[#This Row],[بیمه پرداختنی]],"")</f>
        <v/>
      </c>
      <c r="R127" s="45"/>
      <c r="S127" s="45"/>
      <c r="T127" s="46" t="str">
        <f>IFERROR(ج_ح_تیر17[[#This Row],[جمع ح و م م بیمه ]]*7%,"")</f>
        <v/>
      </c>
      <c r="U127"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27" s="46" t="str">
        <f>IFERROR(ج_ح_تیر17[[#This Row],[وام]]+ج_ح_تیر17[[#This Row],[مساعده]]+ج_ح_تیر17[[#This Row],[بیمه پرداختنی]]+ج_ح_تیر17[[#This Row],[مالیات پرداختنی]],"")</f>
        <v/>
      </c>
      <c r="W127" s="46" t="str">
        <f>IFERROR(ج_ح_تیر17[[#This Row],[جمع ح و م]]-ج_ح_تیر17[[#This Row],[جمع کسورات]],"")</f>
        <v/>
      </c>
    </row>
    <row r="128" spans="1:23" s="41" customFormat="1" ht="32.1" customHeight="1">
      <c r="B128" s="41">
        <f t="shared" si="2"/>
        <v>4</v>
      </c>
      <c r="C128" s="42" t="str">
        <f>IF(ج_ح_تیر17[[#This Row],[نام]]&lt;&gt;"",ROW()-118+1,"")</f>
        <v/>
      </c>
      <c r="D128" s="43"/>
      <c r="E128" s="43"/>
      <c r="F128" s="44"/>
      <c r="G128" s="45"/>
      <c r="H128" s="46" t="str">
        <f>IF(ج_ح_تیر17[[#This Row],[کارکرد]]*ج_ح_تیر17[[#This Row],[دستمزد روزانه ]]=0,"",ج_ح_تیر17[[#This Row],[کارکرد]]*ج_ح_تیر17[[#This Row],[دستمزد روزانه ]])</f>
        <v/>
      </c>
      <c r="I128" s="47"/>
      <c r="J128" s="48">
        <f>(ج_ح_تیر17[[#This Row],[دستمزد روزانه ]]/7.33)*1.4*ج_ح_تیر17[[#This Row],[مدت اضافه کاری ]]</f>
        <v>0</v>
      </c>
      <c r="K128" s="46" t="str">
        <f>IF(ج_ح_تیر17[[#This Row],[کارکرد]]="","",ج_ح_تیر17[[#This Row],[کارکرد]]*حق_مسکن/30)</f>
        <v/>
      </c>
      <c r="L128" s="49"/>
      <c r="M128" s="46" t="str">
        <f>IF(ج_ح_تیر17[[#This Row],[تعداد فرزندان]]="","",ج_ح_تیر17[[#This Row],[کارکرد]]/31*3*ج_ح_تیر17[[#This Row],[تعداد فرزندان]]*حداقل_حقوق_پایه_روزانه)</f>
        <v/>
      </c>
      <c r="N128" s="46" t="str">
        <f>IF(ج_ح_تیر17[[#This Row],[کارکرد]]="","",ج_ح_تیر17[[#This Row],[کارکرد]]*حق_خواربار/30)</f>
        <v/>
      </c>
      <c r="O128" s="46" t="str">
        <f>IFERROR(ج_ح_تیر17[[#This Row],[حقوق پایه]]+ج_ح_تیر17[[#This Row],[اضافه کاری]]+ج_ح_تیر17[[#This Row],[حق مسکن]]+ج_ح_تیر17[[#This Row],[حق اولاد]]+ج_ح_تیر17[[#This Row],[حق و خواروبار]],"")</f>
        <v/>
      </c>
      <c r="P128"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28" s="46" t="str">
        <f>IFERROR(ج_ح_تیر17[[#This Row],[حقوق پایه]]+ج_ح_تیر17[[#This Row],[اضافه کاری]]-(2/7)*ج_ح_تیر17[[#This Row],[بیمه پرداختنی]],"")</f>
        <v/>
      </c>
      <c r="R128" s="45"/>
      <c r="S128" s="45"/>
      <c r="T128" s="46" t="str">
        <f>IFERROR(ج_ح_تیر17[[#This Row],[جمع ح و م م بیمه ]]*7%,"")</f>
        <v/>
      </c>
      <c r="U128"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28" s="46" t="str">
        <f>IFERROR(ج_ح_تیر17[[#This Row],[وام]]+ج_ح_تیر17[[#This Row],[مساعده]]+ج_ح_تیر17[[#This Row],[بیمه پرداختنی]]+ج_ح_تیر17[[#This Row],[مالیات پرداختنی]],"")</f>
        <v/>
      </c>
      <c r="W128" s="46" t="str">
        <f>IFERROR(ج_ح_تیر17[[#This Row],[جمع ح و م]]-ج_ح_تیر17[[#This Row],[جمع کسورات]],"")</f>
        <v/>
      </c>
    </row>
    <row r="129" spans="2:23" s="41" customFormat="1" ht="32.1" customHeight="1">
      <c r="B129" s="41">
        <f t="shared" si="2"/>
        <v>4</v>
      </c>
      <c r="C129" s="42" t="str">
        <f>IF(ج_ح_تیر17[[#This Row],[نام]]&lt;&gt;"",ROW()-118+1,"")</f>
        <v/>
      </c>
      <c r="D129" s="43"/>
      <c r="E129" s="43"/>
      <c r="F129" s="44"/>
      <c r="G129" s="45"/>
      <c r="H129" s="46" t="str">
        <f>IF(ج_ح_تیر17[[#This Row],[کارکرد]]*ج_ح_تیر17[[#This Row],[دستمزد روزانه ]]=0,"",ج_ح_تیر17[[#This Row],[کارکرد]]*ج_ح_تیر17[[#This Row],[دستمزد روزانه ]])</f>
        <v/>
      </c>
      <c r="I129" s="47"/>
      <c r="J129" s="48">
        <f>(ج_ح_تیر17[[#This Row],[دستمزد روزانه ]]/7.33)*1.4*ج_ح_تیر17[[#This Row],[مدت اضافه کاری ]]</f>
        <v>0</v>
      </c>
      <c r="K129" s="46" t="str">
        <f>IF(ج_ح_تیر17[[#This Row],[کارکرد]]="","",ج_ح_تیر17[[#This Row],[کارکرد]]*حق_مسکن/30)</f>
        <v/>
      </c>
      <c r="L129" s="49"/>
      <c r="M129" s="46" t="str">
        <f>IF(ج_ح_تیر17[[#This Row],[تعداد فرزندان]]="","",ج_ح_تیر17[[#This Row],[کارکرد]]/31*3*ج_ح_تیر17[[#This Row],[تعداد فرزندان]]*حداقل_حقوق_پایه_روزانه)</f>
        <v/>
      </c>
      <c r="N129" s="46" t="str">
        <f>IF(ج_ح_تیر17[[#This Row],[کارکرد]]="","",ج_ح_تیر17[[#This Row],[کارکرد]]*حق_خواربار/30)</f>
        <v/>
      </c>
      <c r="O129" s="46" t="str">
        <f>IFERROR(ج_ح_تیر17[[#This Row],[حقوق پایه]]+ج_ح_تیر17[[#This Row],[اضافه کاری]]+ج_ح_تیر17[[#This Row],[حق مسکن]]+ج_ح_تیر17[[#This Row],[حق اولاد]]+ج_ح_تیر17[[#This Row],[حق و خواروبار]],"")</f>
        <v/>
      </c>
      <c r="P129"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29" s="46" t="str">
        <f>IFERROR(ج_ح_تیر17[[#This Row],[حقوق پایه]]+ج_ح_تیر17[[#This Row],[اضافه کاری]]-(2/7)*ج_ح_تیر17[[#This Row],[بیمه پرداختنی]],"")</f>
        <v/>
      </c>
      <c r="R129" s="45"/>
      <c r="S129" s="45"/>
      <c r="T129" s="46" t="str">
        <f>IFERROR(ج_ح_تیر17[[#This Row],[جمع ح و م م بیمه ]]*7%,"")</f>
        <v/>
      </c>
      <c r="U129"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29" s="46" t="str">
        <f>IFERROR(ج_ح_تیر17[[#This Row],[وام]]+ج_ح_تیر17[[#This Row],[مساعده]]+ج_ح_تیر17[[#This Row],[بیمه پرداختنی]]+ج_ح_تیر17[[#This Row],[مالیات پرداختنی]],"")</f>
        <v/>
      </c>
      <c r="W129" s="46" t="str">
        <f>IFERROR(ج_ح_تیر17[[#This Row],[جمع ح و م]]-ج_ح_تیر17[[#This Row],[جمع کسورات]],"")</f>
        <v/>
      </c>
    </row>
    <row r="130" spans="2:23" s="41" customFormat="1" ht="32.1" customHeight="1">
      <c r="B130" s="41">
        <f t="shared" si="2"/>
        <v>4</v>
      </c>
      <c r="C130" s="42" t="str">
        <f>IF(ج_ح_تیر17[[#This Row],[نام]]&lt;&gt;"",ROW()-118+1,"")</f>
        <v/>
      </c>
      <c r="D130" s="43"/>
      <c r="E130" s="43"/>
      <c r="F130" s="44"/>
      <c r="G130" s="45"/>
      <c r="H130" s="46" t="str">
        <f>IF(ج_ح_تیر17[[#This Row],[کارکرد]]*ج_ح_تیر17[[#This Row],[دستمزد روزانه ]]=0,"",ج_ح_تیر17[[#This Row],[کارکرد]]*ج_ح_تیر17[[#This Row],[دستمزد روزانه ]])</f>
        <v/>
      </c>
      <c r="I130" s="47"/>
      <c r="J130" s="48">
        <f>(ج_ح_تیر17[[#This Row],[دستمزد روزانه ]]/7.33)*1.4*ج_ح_تیر17[[#This Row],[مدت اضافه کاری ]]</f>
        <v>0</v>
      </c>
      <c r="K130" s="46" t="str">
        <f>IF(ج_ح_تیر17[[#This Row],[کارکرد]]="","",ج_ح_تیر17[[#This Row],[کارکرد]]*حق_مسکن/30)</f>
        <v/>
      </c>
      <c r="L130" s="49"/>
      <c r="M130" s="46" t="str">
        <f>IF(ج_ح_تیر17[[#This Row],[تعداد فرزندان]]="","",ج_ح_تیر17[[#This Row],[کارکرد]]/31*3*ج_ح_تیر17[[#This Row],[تعداد فرزندان]]*حداقل_حقوق_پایه_روزانه)</f>
        <v/>
      </c>
      <c r="N130" s="46" t="str">
        <f>IF(ج_ح_تیر17[[#This Row],[کارکرد]]="","",ج_ح_تیر17[[#This Row],[کارکرد]]*حق_خواربار/30)</f>
        <v/>
      </c>
      <c r="O130" s="46" t="str">
        <f>IFERROR(ج_ح_تیر17[[#This Row],[حقوق پایه]]+ج_ح_تیر17[[#This Row],[اضافه کاری]]+ج_ح_تیر17[[#This Row],[حق مسکن]]+ج_ح_تیر17[[#This Row],[حق اولاد]]+ج_ح_تیر17[[#This Row],[حق و خواروبار]],"")</f>
        <v/>
      </c>
      <c r="P130"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30" s="46" t="str">
        <f>IFERROR(ج_ح_تیر17[[#This Row],[حقوق پایه]]+ج_ح_تیر17[[#This Row],[اضافه کاری]]-(2/7)*ج_ح_تیر17[[#This Row],[بیمه پرداختنی]],"")</f>
        <v/>
      </c>
      <c r="R130" s="45"/>
      <c r="S130" s="45"/>
      <c r="T130" s="46" t="str">
        <f>IFERROR(ج_ح_تیر17[[#This Row],[جمع ح و م م بیمه ]]*7%,"")</f>
        <v/>
      </c>
      <c r="U130"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30" s="46" t="str">
        <f>IFERROR(ج_ح_تیر17[[#This Row],[وام]]+ج_ح_تیر17[[#This Row],[مساعده]]+ج_ح_تیر17[[#This Row],[بیمه پرداختنی]]+ج_ح_تیر17[[#This Row],[مالیات پرداختنی]],"")</f>
        <v/>
      </c>
      <c r="W130" s="46" t="str">
        <f>IFERROR(ج_ح_تیر17[[#This Row],[جمع ح و م]]-ج_ح_تیر17[[#This Row],[جمع کسورات]],"")</f>
        <v/>
      </c>
    </row>
    <row r="131" spans="2:23" s="41" customFormat="1" ht="32.1" customHeight="1">
      <c r="B131" s="41">
        <f t="shared" si="2"/>
        <v>4</v>
      </c>
      <c r="C131" s="42" t="str">
        <f>IF(ج_ح_تیر17[[#This Row],[نام]]&lt;&gt;"",ROW()-118+1,"")</f>
        <v/>
      </c>
      <c r="D131" s="43"/>
      <c r="E131" s="43"/>
      <c r="F131" s="44"/>
      <c r="G131" s="45"/>
      <c r="H131" s="46" t="str">
        <f>IF(ج_ح_تیر17[[#This Row],[کارکرد]]*ج_ح_تیر17[[#This Row],[دستمزد روزانه ]]=0,"",ج_ح_تیر17[[#This Row],[کارکرد]]*ج_ح_تیر17[[#This Row],[دستمزد روزانه ]])</f>
        <v/>
      </c>
      <c r="I131" s="47"/>
      <c r="J131" s="48">
        <f>(ج_ح_تیر17[[#This Row],[دستمزد روزانه ]]/7.33)*1.4*ج_ح_تیر17[[#This Row],[مدت اضافه کاری ]]</f>
        <v>0</v>
      </c>
      <c r="K131" s="46" t="str">
        <f>IF(ج_ح_تیر17[[#This Row],[کارکرد]]="","",ج_ح_تیر17[[#This Row],[کارکرد]]*حق_مسکن/30)</f>
        <v/>
      </c>
      <c r="L131" s="49"/>
      <c r="M131" s="46" t="str">
        <f>IF(ج_ح_تیر17[[#This Row],[تعداد فرزندان]]="","",ج_ح_تیر17[[#This Row],[کارکرد]]/31*3*ج_ح_تیر17[[#This Row],[تعداد فرزندان]]*حداقل_حقوق_پایه_روزانه)</f>
        <v/>
      </c>
      <c r="N131" s="46" t="str">
        <f>IF(ج_ح_تیر17[[#This Row],[کارکرد]]="","",ج_ح_تیر17[[#This Row],[کارکرد]]*حق_خواربار/30)</f>
        <v/>
      </c>
      <c r="O131" s="46" t="str">
        <f>IFERROR(ج_ح_تیر17[[#This Row],[حقوق پایه]]+ج_ح_تیر17[[#This Row],[اضافه کاری]]+ج_ح_تیر17[[#This Row],[حق مسکن]]+ج_ح_تیر17[[#This Row],[حق اولاد]]+ج_ح_تیر17[[#This Row],[حق و خواروبار]],"")</f>
        <v/>
      </c>
      <c r="P131"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31" s="46" t="str">
        <f>IFERROR(ج_ح_تیر17[[#This Row],[حقوق پایه]]+ج_ح_تیر17[[#This Row],[اضافه کاری]]-(2/7)*ج_ح_تیر17[[#This Row],[بیمه پرداختنی]],"")</f>
        <v/>
      </c>
      <c r="R131" s="45"/>
      <c r="S131" s="45"/>
      <c r="T131" s="46" t="str">
        <f>IFERROR(ج_ح_تیر17[[#This Row],[جمع ح و م م بیمه ]]*7%,"")</f>
        <v/>
      </c>
      <c r="U131"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31" s="46" t="str">
        <f>IFERROR(ج_ح_تیر17[[#This Row],[وام]]+ج_ح_تیر17[[#This Row],[مساعده]]+ج_ح_تیر17[[#This Row],[بیمه پرداختنی]]+ج_ح_تیر17[[#This Row],[مالیات پرداختنی]],"")</f>
        <v/>
      </c>
      <c r="W131" s="46" t="str">
        <f>IFERROR(ج_ح_تیر17[[#This Row],[جمع ح و م]]-ج_ح_تیر17[[#This Row],[جمع کسورات]],"")</f>
        <v/>
      </c>
    </row>
    <row r="132" spans="2:23" s="41" customFormat="1" ht="32.1" customHeight="1">
      <c r="B132" s="41">
        <f t="shared" si="2"/>
        <v>4</v>
      </c>
      <c r="C132" s="42" t="str">
        <f>IF(ج_ح_تیر17[[#This Row],[نام]]&lt;&gt;"",ROW()-118+1,"")</f>
        <v/>
      </c>
      <c r="D132" s="43"/>
      <c r="E132" s="43"/>
      <c r="F132" s="44"/>
      <c r="G132" s="45"/>
      <c r="H132" s="46" t="str">
        <f>IF(ج_ح_تیر17[[#This Row],[کارکرد]]*ج_ح_تیر17[[#This Row],[دستمزد روزانه ]]=0,"",ج_ح_تیر17[[#This Row],[کارکرد]]*ج_ح_تیر17[[#This Row],[دستمزد روزانه ]])</f>
        <v/>
      </c>
      <c r="I132" s="47"/>
      <c r="J132" s="48">
        <f>(ج_ح_تیر17[[#This Row],[دستمزد روزانه ]]/7.33)*1.4*ج_ح_تیر17[[#This Row],[مدت اضافه کاری ]]</f>
        <v>0</v>
      </c>
      <c r="K132" s="46" t="str">
        <f>IF(ج_ح_تیر17[[#This Row],[کارکرد]]="","",ج_ح_تیر17[[#This Row],[کارکرد]]*حق_مسکن/30)</f>
        <v/>
      </c>
      <c r="L132" s="49"/>
      <c r="M132" s="46" t="str">
        <f>IF(ج_ح_تیر17[[#This Row],[تعداد فرزندان]]="","",ج_ح_تیر17[[#This Row],[کارکرد]]/31*3*ج_ح_تیر17[[#This Row],[تعداد فرزندان]]*حداقل_حقوق_پایه_روزانه)</f>
        <v/>
      </c>
      <c r="N132" s="46" t="str">
        <f>IF(ج_ح_تیر17[[#This Row],[کارکرد]]="","",ج_ح_تیر17[[#This Row],[کارکرد]]*حق_خواربار/30)</f>
        <v/>
      </c>
      <c r="O132" s="46" t="str">
        <f>IFERROR(ج_ح_تیر17[[#This Row],[حقوق پایه]]+ج_ح_تیر17[[#This Row],[اضافه کاری]]+ج_ح_تیر17[[#This Row],[حق مسکن]]+ج_ح_تیر17[[#This Row],[حق اولاد]]+ج_ح_تیر17[[#This Row],[حق و خواروبار]],"")</f>
        <v/>
      </c>
      <c r="P132"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32" s="46" t="str">
        <f>IFERROR(ج_ح_تیر17[[#This Row],[حقوق پایه]]+ج_ح_تیر17[[#This Row],[اضافه کاری]]-(2/7)*ج_ح_تیر17[[#This Row],[بیمه پرداختنی]],"")</f>
        <v/>
      </c>
      <c r="R132" s="45"/>
      <c r="S132" s="45"/>
      <c r="T132" s="46" t="str">
        <f>IFERROR(ج_ح_تیر17[[#This Row],[جمع ح و م م بیمه ]]*7%,"")</f>
        <v/>
      </c>
      <c r="U132"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32" s="46" t="str">
        <f>IFERROR(ج_ح_تیر17[[#This Row],[وام]]+ج_ح_تیر17[[#This Row],[مساعده]]+ج_ح_تیر17[[#This Row],[بیمه پرداختنی]]+ج_ح_تیر17[[#This Row],[مالیات پرداختنی]],"")</f>
        <v/>
      </c>
      <c r="W132" s="46" t="str">
        <f>IFERROR(ج_ح_تیر17[[#This Row],[جمع ح و م]]-ج_ح_تیر17[[#This Row],[جمع کسورات]],"")</f>
        <v/>
      </c>
    </row>
    <row r="133" spans="2:23" s="41" customFormat="1" ht="32.1" customHeight="1">
      <c r="B133" s="41">
        <f t="shared" si="2"/>
        <v>4</v>
      </c>
      <c r="C133" s="42" t="str">
        <f>IF(ج_ح_تیر17[[#This Row],[نام]]&lt;&gt;"",ROW()-118+1,"")</f>
        <v/>
      </c>
      <c r="D133" s="43"/>
      <c r="E133" s="43"/>
      <c r="F133" s="44"/>
      <c r="G133" s="45"/>
      <c r="H133" s="46" t="str">
        <f>IF(ج_ح_تیر17[[#This Row],[کارکرد]]*ج_ح_تیر17[[#This Row],[دستمزد روزانه ]]=0,"",ج_ح_تیر17[[#This Row],[کارکرد]]*ج_ح_تیر17[[#This Row],[دستمزد روزانه ]])</f>
        <v/>
      </c>
      <c r="I133" s="47"/>
      <c r="J133" s="48">
        <f>(ج_ح_تیر17[[#This Row],[دستمزد روزانه ]]/7.33)*1.4*ج_ح_تیر17[[#This Row],[مدت اضافه کاری ]]</f>
        <v>0</v>
      </c>
      <c r="K133" s="46" t="str">
        <f>IF(ج_ح_تیر17[[#This Row],[کارکرد]]="","",ج_ح_تیر17[[#This Row],[کارکرد]]*حق_مسکن/30)</f>
        <v/>
      </c>
      <c r="L133" s="49"/>
      <c r="M133" s="46" t="str">
        <f>IF(ج_ح_تیر17[[#This Row],[تعداد فرزندان]]="","",ج_ح_تیر17[[#This Row],[کارکرد]]/31*3*ج_ح_تیر17[[#This Row],[تعداد فرزندان]]*حداقل_حقوق_پایه_روزانه)</f>
        <v/>
      </c>
      <c r="N133" s="46" t="str">
        <f>IF(ج_ح_تیر17[[#This Row],[کارکرد]]="","",ج_ح_تیر17[[#This Row],[کارکرد]]*حق_خواربار/30)</f>
        <v/>
      </c>
      <c r="O133" s="46" t="str">
        <f>IFERROR(ج_ح_تیر17[[#This Row],[حقوق پایه]]+ج_ح_تیر17[[#This Row],[اضافه کاری]]+ج_ح_تیر17[[#This Row],[حق مسکن]]+ج_ح_تیر17[[#This Row],[حق اولاد]]+ج_ح_تیر17[[#This Row],[حق و خواروبار]],"")</f>
        <v/>
      </c>
      <c r="P133"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33" s="46" t="str">
        <f>IFERROR(ج_ح_تیر17[[#This Row],[حقوق پایه]]+ج_ح_تیر17[[#This Row],[اضافه کاری]]-(2/7)*ج_ح_تیر17[[#This Row],[بیمه پرداختنی]],"")</f>
        <v/>
      </c>
      <c r="R133" s="45"/>
      <c r="S133" s="45"/>
      <c r="T133" s="46" t="str">
        <f>IFERROR(ج_ح_تیر17[[#This Row],[جمع ح و م م بیمه ]]*7%,"")</f>
        <v/>
      </c>
      <c r="U133"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33" s="46" t="str">
        <f>IFERROR(ج_ح_تیر17[[#This Row],[وام]]+ج_ح_تیر17[[#This Row],[مساعده]]+ج_ح_تیر17[[#This Row],[بیمه پرداختنی]]+ج_ح_تیر17[[#This Row],[مالیات پرداختنی]],"")</f>
        <v/>
      </c>
      <c r="W133" s="46" t="str">
        <f>IFERROR(ج_ح_تیر17[[#This Row],[جمع ح و م]]-ج_ح_تیر17[[#This Row],[جمع کسورات]],"")</f>
        <v/>
      </c>
    </row>
    <row r="134" spans="2:23" s="41" customFormat="1" ht="32.1" customHeight="1">
      <c r="B134" s="41">
        <f t="shared" si="2"/>
        <v>4</v>
      </c>
      <c r="C134" s="42" t="str">
        <f>IF(ج_ح_تیر17[[#This Row],[نام]]&lt;&gt;"",ROW()-118+1,"")</f>
        <v/>
      </c>
      <c r="D134" s="43"/>
      <c r="E134" s="43"/>
      <c r="F134" s="44"/>
      <c r="G134" s="45"/>
      <c r="H134" s="46" t="str">
        <f>IF(ج_ح_تیر17[[#This Row],[کارکرد]]*ج_ح_تیر17[[#This Row],[دستمزد روزانه ]]=0,"",ج_ح_تیر17[[#This Row],[کارکرد]]*ج_ح_تیر17[[#This Row],[دستمزد روزانه ]])</f>
        <v/>
      </c>
      <c r="I134" s="47"/>
      <c r="J134" s="48">
        <f>(ج_ح_تیر17[[#This Row],[دستمزد روزانه ]]/7.33)*1.4*ج_ح_تیر17[[#This Row],[مدت اضافه کاری ]]</f>
        <v>0</v>
      </c>
      <c r="K134" s="46" t="str">
        <f>IF(ج_ح_تیر17[[#This Row],[کارکرد]]="","",ج_ح_تیر17[[#This Row],[کارکرد]]*حق_مسکن/30)</f>
        <v/>
      </c>
      <c r="L134" s="49"/>
      <c r="M134" s="46" t="str">
        <f>IF(ج_ح_تیر17[[#This Row],[تعداد فرزندان]]="","",ج_ح_تیر17[[#This Row],[کارکرد]]/31*3*ج_ح_تیر17[[#This Row],[تعداد فرزندان]]*حداقل_حقوق_پایه_روزانه)</f>
        <v/>
      </c>
      <c r="N134" s="46" t="str">
        <f>IF(ج_ح_تیر17[[#This Row],[کارکرد]]="","",ج_ح_تیر17[[#This Row],[کارکرد]]*حق_خواربار/30)</f>
        <v/>
      </c>
      <c r="O134" s="46" t="str">
        <f>IFERROR(ج_ح_تیر17[[#This Row],[حقوق پایه]]+ج_ح_تیر17[[#This Row],[اضافه کاری]]+ج_ح_تیر17[[#This Row],[حق مسکن]]+ج_ح_تیر17[[#This Row],[حق اولاد]]+ج_ح_تیر17[[#This Row],[حق و خواروبار]],"")</f>
        <v/>
      </c>
      <c r="P134"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34" s="46" t="str">
        <f>IFERROR(ج_ح_تیر17[[#This Row],[حقوق پایه]]+ج_ح_تیر17[[#This Row],[اضافه کاری]]-(2/7)*ج_ح_تیر17[[#This Row],[بیمه پرداختنی]],"")</f>
        <v/>
      </c>
      <c r="R134" s="45"/>
      <c r="S134" s="45"/>
      <c r="T134" s="46" t="str">
        <f>IFERROR(ج_ح_تیر17[[#This Row],[جمع ح و م م بیمه ]]*7%,"")</f>
        <v/>
      </c>
      <c r="U134"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34" s="46" t="str">
        <f>IFERROR(ج_ح_تیر17[[#This Row],[وام]]+ج_ح_تیر17[[#This Row],[مساعده]]+ج_ح_تیر17[[#This Row],[بیمه پرداختنی]]+ج_ح_تیر17[[#This Row],[مالیات پرداختنی]],"")</f>
        <v/>
      </c>
      <c r="W134" s="46" t="str">
        <f>IFERROR(ج_ح_تیر17[[#This Row],[جمع ح و م]]-ج_ح_تیر17[[#This Row],[جمع کسورات]],"")</f>
        <v/>
      </c>
    </row>
    <row r="135" spans="2:23" s="41" customFormat="1" ht="32.1" customHeight="1">
      <c r="B135" s="41">
        <f t="shared" si="2"/>
        <v>4</v>
      </c>
      <c r="C135" s="42" t="str">
        <f>IF(ج_ح_تیر17[[#This Row],[نام]]&lt;&gt;"",ROW()-118+1,"")</f>
        <v/>
      </c>
      <c r="D135" s="43"/>
      <c r="E135" s="43"/>
      <c r="F135" s="44"/>
      <c r="G135" s="45"/>
      <c r="H135" s="46" t="str">
        <f>IF(ج_ح_تیر17[[#This Row],[کارکرد]]*ج_ح_تیر17[[#This Row],[دستمزد روزانه ]]=0,"",ج_ح_تیر17[[#This Row],[کارکرد]]*ج_ح_تیر17[[#This Row],[دستمزد روزانه ]])</f>
        <v/>
      </c>
      <c r="I135" s="47"/>
      <c r="J135" s="48">
        <f>(ج_ح_تیر17[[#This Row],[دستمزد روزانه ]]/7.33)*1.4*ج_ح_تیر17[[#This Row],[مدت اضافه کاری ]]</f>
        <v>0</v>
      </c>
      <c r="K135" s="46" t="str">
        <f>IF(ج_ح_تیر17[[#This Row],[کارکرد]]="","",ج_ح_تیر17[[#This Row],[کارکرد]]*حق_مسکن/30)</f>
        <v/>
      </c>
      <c r="L135" s="49"/>
      <c r="M135" s="46" t="str">
        <f>IF(ج_ح_تیر17[[#This Row],[تعداد فرزندان]]="","",ج_ح_تیر17[[#This Row],[کارکرد]]/31*3*ج_ح_تیر17[[#This Row],[تعداد فرزندان]]*حداقل_حقوق_پایه_روزانه)</f>
        <v/>
      </c>
      <c r="N135" s="46" t="str">
        <f>IF(ج_ح_تیر17[[#This Row],[کارکرد]]="","",ج_ح_تیر17[[#This Row],[کارکرد]]*حق_خواربار/30)</f>
        <v/>
      </c>
      <c r="O135" s="46" t="str">
        <f>IFERROR(ج_ح_تیر17[[#This Row],[حقوق پایه]]+ج_ح_تیر17[[#This Row],[اضافه کاری]]+ج_ح_تیر17[[#This Row],[حق مسکن]]+ج_ح_تیر17[[#This Row],[حق اولاد]]+ج_ح_تیر17[[#This Row],[حق و خواروبار]],"")</f>
        <v/>
      </c>
      <c r="P135"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35" s="46" t="str">
        <f>IFERROR(ج_ح_تیر17[[#This Row],[حقوق پایه]]+ج_ح_تیر17[[#This Row],[اضافه کاری]]-(2/7)*ج_ح_تیر17[[#This Row],[بیمه پرداختنی]],"")</f>
        <v/>
      </c>
      <c r="R135" s="45"/>
      <c r="S135" s="45"/>
      <c r="T135" s="46" t="str">
        <f>IFERROR(ج_ح_تیر17[[#This Row],[جمع ح و م م بیمه ]]*7%,"")</f>
        <v/>
      </c>
      <c r="U135"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35" s="46" t="str">
        <f>IFERROR(ج_ح_تیر17[[#This Row],[وام]]+ج_ح_تیر17[[#This Row],[مساعده]]+ج_ح_تیر17[[#This Row],[بیمه پرداختنی]]+ج_ح_تیر17[[#This Row],[مالیات پرداختنی]],"")</f>
        <v/>
      </c>
      <c r="W135" s="46" t="str">
        <f>IFERROR(ج_ح_تیر17[[#This Row],[جمع ح و م]]-ج_ح_تیر17[[#This Row],[جمع کسورات]],"")</f>
        <v/>
      </c>
    </row>
    <row r="136" spans="2:23" s="41" customFormat="1" ht="32.1" customHeight="1">
      <c r="B136" s="41">
        <f t="shared" si="2"/>
        <v>4</v>
      </c>
      <c r="C136" s="42" t="str">
        <f>IF(ج_ح_تیر17[[#This Row],[نام]]&lt;&gt;"",ROW()-118+1,"")</f>
        <v/>
      </c>
      <c r="D136" s="43"/>
      <c r="E136" s="43"/>
      <c r="F136" s="44"/>
      <c r="G136" s="45"/>
      <c r="H136" s="46" t="str">
        <f>IF(ج_ح_تیر17[[#This Row],[کارکرد]]*ج_ح_تیر17[[#This Row],[دستمزد روزانه ]]=0,"",ج_ح_تیر17[[#This Row],[کارکرد]]*ج_ح_تیر17[[#This Row],[دستمزد روزانه ]])</f>
        <v/>
      </c>
      <c r="I136" s="47"/>
      <c r="J136" s="48">
        <f>(ج_ح_تیر17[[#This Row],[دستمزد روزانه ]]/7.33)*1.4*ج_ح_تیر17[[#This Row],[مدت اضافه کاری ]]</f>
        <v>0</v>
      </c>
      <c r="K136" s="46" t="str">
        <f>IF(ج_ح_تیر17[[#This Row],[کارکرد]]="","",ج_ح_تیر17[[#This Row],[کارکرد]]*حق_مسکن/30)</f>
        <v/>
      </c>
      <c r="L136" s="49"/>
      <c r="M136" s="46" t="str">
        <f>IF(ج_ح_تیر17[[#This Row],[تعداد فرزندان]]="","",ج_ح_تیر17[[#This Row],[کارکرد]]/31*3*ج_ح_تیر17[[#This Row],[تعداد فرزندان]]*حداقل_حقوق_پایه_روزانه)</f>
        <v/>
      </c>
      <c r="N136" s="46" t="str">
        <f>IF(ج_ح_تیر17[[#This Row],[کارکرد]]="","",ج_ح_تیر17[[#This Row],[کارکرد]]*حق_خواربار/30)</f>
        <v/>
      </c>
      <c r="O136" s="46" t="str">
        <f>IFERROR(ج_ح_تیر17[[#This Row],[حقوق پایه]]+ج_ح_تیر17[[#This Row],[اضافه کاری]]+ج_ح_تیر17[[#This Row],[حق مسکن]]+ج_ح_تیر17[[#This Row],[حق اولاد]]+ج_ح_تیر17[[#This Row],[حق و خواروبار]],"")</f>
        <v/>
      </c>
      <c r="P136"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36" s="46" t="str">
        <f>IFERROR(ج_ح_تیر17[[#This Row],[حقوق پایه]]+ج_ح_تیر17[[#This Row],[اضافه کاری]]-(2/7)*ج_ح_تیر17[[#This Row],[بیمه پرداختنی]],"")</f>
        <v/>
      </c>
      <c r="R136" s="45"/>
      <c r="S136" s="45"/>
      <c r="T136" s="46" t="str">
        <f>IFERROR(ج_ح_تیر17[[#This Row],[جمع ح و م م بیمه ]]*7%,"")</f>
        <v/>
      </c>
      <c r="U136"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36" s="46" t="str">
        <f>IFERROR(ج_ح_تیر17[[#This Row],[وام]]+ج_ح_تیر17[[#This Row],[مساعده]]+ج_ح_تیر17[[#This Row],[بیمه پرداختنی]]+ج_ح_تیر17[[#This Row],[مالیات پرداختنی]],"")</f>
        <v/>
      </c>
      <c r="W136" s="46" t="str">
        <f>IFERROR(ج_ح_تیر17[[#This Row],[جمع ح و م]]-ج_ح_تیر17[[#This Row],[جمع کسورات]],"")</f>
        <v/>
      </c>
    </row>
    <row r="137" spans="2:23" s="41" customFormat="1" ht="32.1" customHeight="1">
      <c r="B137" s="41">
        <f t="shared" si="2"/>
        <v>4</v>
      </c>
      <c r="C137" s="42" t="str">
        <f>IF(ج_ح_تیر17[[#This Row],[نام]]&lt;&gt;"",ROW()-118+1,"")</f>
        <v/>
      </c>
      <c r="D137" s="43"/>
      <c r="E137" s="43"/>
      <c r="F137" s="44"/>
      <c r="G137" s="45"/>
      <c r="H137" s="46" t="str">
        <f>IF(ج_ح_تیر17[[#This Row],[کارکرد]]*ج_ح_تیر17[[#This Row],[دستمزد روزانه ]]=0,"",ج_ح_تیر17[[#This Row],[کارکرد]]*ج_ح_تیر17[[#This Row],[دستمزد روزانه ]])</f>
        <v/>
      </c>
      <c r="I137" s="47"/>
      <c r="J137" s="48">
        <f>(ج_ح_تیر17[[#This Row],[دستمزد روزانه ]]/7.33)*1.4*ج_ح_تیر17[[#This Row],[مدت اضافه کاری ]]</f>
        <v>0</v>
      </c>
      <c r="K137" s="46" t="str">
        <f>IF(ج_ح_تیر17[[#This Row],[کارکرد]]="","",ج_ح_تیر17[[#This Row],[کارکرد]]*حق_مسکن/30)</f>
        <v/>
      </c>
      <c r="L137" s="49"/>
      <c r="M137" s="46" t="str">
        <f>IF(ج_ح_تیر17[[#This Row],[تعداد فرزندان]]="","",ج_ح_تیر17[[#This Row],[کارکرد]]/31*3*ج_ح_تیر17[[#This Row],[تعداد فرزندان]]*حداقل_حقوق_پایه_روزانه)</f>
        <v/>
      </c>
      <c r="N137" s="46" t="str">
        <f>IF(ج_ح_تیر17[[#This Row],[کارکرد]]="","",ج_ح_تیر17[[#This Row],[کارکرد]]*حق_خواربار/30)</f>
        <v/>
      </c>
      <c r="O137" s="46" t="str">
        <f>IFERROR(ج_ح_تیر17[[#This Row],[حقوق پایه]]+ج_ح_تیر17[[#This Row],[اضافه کاری]]+ج_ح_تیر17[[#This Row],[حق مسکن]]+ج_ح_تیر17[[#This Row],[حق اولاد]]+ج_ح_تیر17[[#This Row],[حق و خواروبار]],"")</f>
        <v/>
      </c>
      <c r="P137"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37" s="46" t="str">
        <f>IFERROR(ج_ح_تیر17[[#This Row],[حقوق پایه]]+ج_ح_تیر17[[#This Row],[اضافه کاری]]-(2/7)*ج_ح_تیر17[[#This Row],[بیمه پرداختنی]],"")</f>
        <v/>
      </c>
      <c r="R137" s="45"/>
      <c r="S137" s="45"/>
      <c r="T137" s="46" t="str">
        <f>IFERROR(ج_ح_تیر17[[#This Row],[جمع ح و م م بیمه ]]*7%,"")</f>
        <v/>
      </c>
      <c r="U137"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37" s="46" t="str">
        <f>IFERROR(ج_ح_تیر17[[#This Row],[وام]]+ج_ح_تیر17[[#This Row],[مساعده]]+ج_ح_تیر17[[#This Row],[بیمه پرداختنی]]+ج_ح_تیر17[[#This Row],[مالیات پرداختنی]],"")</f>
        <v/>
      </c>
      <c r="W137" s="46" t="str">
        <f>IFERROR(ج_ح_تیر17[[#This Row],[جمع ح و م]]-ج_ح_تیر17[[#This Row],[جمع کسورات]],"")</f>
        <v/>
      </c>
    </row>
    <row r="138" spans="2:23" s="41" customFormat="1" ht="32.1" customHeight="1">
      <c r="B138" s="41">
        <f t="shared" si="2"/>
        <v>4</v>
      </c>
      <c r="C138" s="42" t="str">
        <f>IF(ج_ح_تیر17[[#This Row],[نام]]&lt;&gt;"",ROW()-118+1,"")</f>
        <v/>
      </c>
      <c r="D138" s="43"/>
      <c r="E138" s="43"/>
      <c r="F138" s="44"/>
      <c r="G138" s="45"/>
      <c r="H138" s="46" t="str">
        <f>IF(ج_ح_تیر17[[#This Row],[کارکرد]]*ج_ح_تیر17[[#This Row],[دستمزد روزانه ]]=0,"",ج_ح_تیر17[[#This Row],[کارکرد]]*ج_ح_تیر17[[#This Row],[دستمزد روزانه ]])</f>
        <v/>
      </c>
      <c r="I138" s="47"/>
      <c r="J138" s="48">
        <f>(ج_ح_تیر17[[#This Row],[دستمزد روزانه ]]/7.33)*1.4*ج_ح_تیر17[[#This Row],[مدت اضافه کاری ]]</f>
        <v>0</v>
      </c>
      <c r="K138" s="46" t="str">
        <f>IF(ج_ح_تیر17[[#This Row],[کارکرد]]="","",ج_ح_تیر17[[#This Row],[کارکرد]]*حق_مسکن/30)</f>
        <v/>
      </c>
      <c r="L138" s="49"/>
      <c r="M138" s="46" t="str">
        <f>IF(ج_ح_تیر17[[#This Row],[تعداد فرزندان]]="","",ج_ح_تیر17[[#This Row],[کارکرد]]/31*3*ج_ح_تیر17[[#This Row],[تعداد فرزندان]]*حداقل_حقوق_پایه_روزانه)</f>
        <v/>
      </c>
      <c r="N138" s="46" t="str">
        <f>IF(ج_ح_تیر17[[#This Row],[کارکرد]]="","",ج_ح_تیر17[[#This Row],[کارکرد]]*حق_خواربار/30)</f>
        <v/>
      </c>
      <c r="O138" s="46" t="str">
        <f>IFERROR(ج_ح_تیر17[[#This Row],[حقوق پایه]]+ج_ح_تیر17[[#This Row],[اضافه کاری]]+ج_ح_تیر17[[#This Row],[حق مسکن]]+ج_ح_تیر17[[#This Row],[حق اولاد]]+ج_ح_تیر17[[#This Row],[حق و خواروبار]],"")</f>
        <v/>
      </c>
      <c r="P138"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38" s="46" t="str">
        <f>IFERROR(ج_ح_تیر17[[#This Row],[حقوق پایه]]+ج_ح_تیر17[[#This Row],[اضافه کاری]]-(2/7)*ج_ح_تیر17[[#This Row],[بیمه پرداختنی]],"")</f>
        <v/>
      </c>
      <c r="R138" s="45"/>
      <c r="S138" s="45"/>
      <c r="T138" s="46" t="str">
        <f>IFERROR(ج_ح_تیر17[[#This Row],[جمع ح و م م بیمه ]]*7%,"")</f>
        <v/>
      </c>
      <c r="U138"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38" s="46" t="str">
        <f>IFERROR(ج_ح_تیر17[[#This Row],[وام]]+ج_ح_تیر17[[#This Row],[مساعده]]+ج_ح_تیر17[[#This Row],[بیمه پرداختنی]]+ج_ح_تیر17[[#This Row],[مالیات پرداختنی]],"")</f>
        <v/>
      </c>
      <c r="W138" s="46" t="str">
        <f>IFERROR(ج_ح_تیر17[[#This Row],[جمع ح و م]]-ج_ح_تیر17[[#This Row],[جمع کسورات]],"")</f>
        <v/>
      </c>
    </row>
    <row r="139" spans="2:23" s="41" customFormat="1" ht="32.1" customHeight="1">
      <c r="B139" s="41">
        <f t="shared" si="2"/>
        <v>4</v>
      </c>
      <c r="C139" s="42" t="str">
        <f>IF(ج_ح_تیر17[[#This Row],[نام]]&lt;&gt;"",ROW()-118+1,"")</f>
        <v/>
      </c>
      <c r="D139" s="43"/>
      <c r="E139" s="43"/>
      <c r="F139" s="44"/>
      <c r="G139" s="45"/>
      <c r="H139" s="46" t="str">
        <f>IF(ج_ح_تیر17[[#This Row],[کارکرد]]*ج_ح_تیر17[[#This Row],[دستمزد روزانه ]]=0,"",ج_ح_تیر17[[#This Row],[کارکرد]]*ج_ح_تیر17[[#This Row],[دستمزد روزانه ]])</f>
        <v/>
      </c>
      <c r="I139" s="47"/>
      <c r="J139" s="48">
        <f>(ج_ح_تیر17[[#This Row],[دستمزد روزانه ]]/7.33)*1.4*ج_ح_تیر17[[#This Row],[مدت اضافه کاری ]]</f>
        <v>0</v>
      </c>
      <c r="K139" s="46" t="str">
        <f>IF(ج_ح_تیر17[[#This Row],[کارکرد]]="","",ج_ح_تیر17[[#This Row],[کارکرد]]*حق_مسکن/30)</f>
        <v/>
      </c>
      <c r="L139" s="49"/>
      <c r="M139" s="46" t="str">
        <f>IF(ج_ح_تیر17[[#This Row],[تعداد فرزندان]]="","",ج_ح_تیر17[[#This Row],[کارکرد]]/31*3*ج_ح_تیر17[[#This Row],[تعداد فرزندان]]*حداقل_حقوق_پایه_روزانه)</f>
        <v/>
      </c>
      <c r="N139" s="46" t="str">
        <f>IF(ج_ح_تیر17[[#This Row],[کارکرد]]="","",ج_ح_تیر17[[#This Row],[کارکرد]]*حق_خواربار/30)</f>
        <v/>
      </c>
      <c r="O139" s="46" t="str">
        <f>IFERROR(ج_ح_تیر17[[#This Row],[حقوق پایه]]+ج_ح_تیر17[[#This Row],[اضافه کاری]]+ج_ح_تیر17[[#This Row],[حق مسکن]]+ج_ح_تیر17[[#This Row],[حق اولاد]]+ج_ح_تیر17[[#This Row],[حق و خواروبار]],"")</f>
        <v/>
      </c>
      <c r="P139"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39" s="46" t="str">
        <f>IFERROR(ج_ح_تیر17[[#This Row],[حقوق پایه]]+ج_ح_تیر17[[#This Row],[اضافه کاری]]-(2/7)*ج_ح_تیر17[[#This Row],[بیمه پرداختنی]],"")</f>
        <v/>
      </c>
      <c r="R139" s="45"/>
      <c r="S139" s="45"/>
      <c r="T139" s="46" t="str">
        <f>IFERROR(ج_ح_تیر17[[#This Row],[جمع ح و م م بیمه ]]*7%,"")</f>
        <v/>
      </c>
      <c r="U139"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39" s="46" t="str">
        <f>IFERROR(ج_ح_تیر17[[#This Row],[وام]]+ج_ح_تیر17[[#This Row],[مساعده]]+ج_ح_تیر17[[#This Row],[بیمه پرداختنی]]+ج_ح_تیر17[[#This Row],[مالیات پرداختنی]],"")</f>
        <v/>
      </c>
      <c r="W139" s="46" t="str">
        <f>IFERROR(ج_ح_تیر17[[#This Row],[جمع ح و م]]-ج_ح_تیر17[[#This Row],[جمع کسورات]],"")</f>
        <v/>
      </c>
    </row>
    <row r="140" spans="2:23" s="41" customFormat="1" ht="32.1" customHeight="1">
      <c r="B140" s="41">
        <f t="shared" si="2"/>
        <v>4</v>
      </c>
      <c r="C140" s="42" t="str">
        <f>IF(ج_ح_تیر17[[#This Row],[نام]]&lt;&gt;"",ROW()-118+1,"")</f>
        <v/>
      </c>
      <c r="D140" s="43"/>
      <c r="E140" s="43"/>
      <c r="F140" s="44"/>
      <c r="G140" s="45"/>
      <c r="H140" s="46" t="str">
        <f>IF(ج_ح_تیر17[[#This Row],[کارکرد]]*ج_ح_تیر17[[#This Row],[دستمزد روزانه ]]=0,"",ج_ح_تیر17[[#This Row],[کارکرد]]*ج_ح_تیر17[[#This Row],[دستمزد روزانه ]])</f>
        <v/>
      </c>
      <c r="I140" s="47"/>
      <c r="J140" s="48">
        <f>(ج_ح_تیر17[[#This Row],[دستمزد روزانه ]]/7.33)*1.4*ج_ح_تیر17[[#This Row],[مدت اضافه کاری ]]</f>
        <v>0</v>
      </c>
      <c r="K140" s="46" t="str">
        <f>IF(ج_ح_تیر17[[#This Row],[کارکرد]]="","",ج_ح_تیر17[[#This Row],[کارکرد]]*حق_مسکن/30)</f>
        <v/>
      </c>
      <c r="L140" s="49"/>
      <c r="M140" s="46" t="str">
        <f>IF(ج_ح_تیر17[[#This Row],[تعداد فرزندان]]="","",ج_ح_تیر17[[#This Row],[کارکرد]]/31*3*ج_ح_تیر17[[#This Row],[تعداد فرزندان]]*حداقل_حقوق_پایه_روزانه)</f>
        <v/>
      </c>
      <c r="N140" s="46" t="str">
        <f>IF(ج_ح_تیر17[[#This Row],[کارکرد]]="","",ج_ح_تیر17[[#This Row],[کارکرد]]*حق_خواربار/30)</f>
        <v/>
      </c>
      <c r="O140" s="46" t="str">
        <f>IFERROR(ج_ح_تیر17[[#This Row],[حقوق پایه]]+ج_ح_تیر17[[#This Row],[اضافه کاری]]+ج_ح_تیر17[[#This Row],[حق مسکن]]+ج_ح_تیر17[[#This Row],[حق اولاد]]+ج_ح_تیر17[[#This Row],[حق و خواروبار]],"")</f>
        <v/>
      </c>
      <c r="P140"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40" s="46" t="str">
        <f>IFERROR(ج_ح_تیر17[[#This Row],[حقوق پایه]]+ج_ح_تیر17[[#This Row],[اضافه کاری]]-(2/7)*ج_ح_تیر17[[#This Row],[بیمه پرداختنی]],"")</f>
        <v/>
      </c>
      <c r="R140" s="45"/>
      <c r="S140" s="45"/>
      <c r="T140" s="46" t="str">
        <f>IFERROR(ج_ح_تیر17[[#This Row],[جمع ح و م م بیمه ]]*7%,"")</f>
        <v/>
      </c>
      <c r="U140"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40" s="46" t="str">
        <f>IFERROR(ج_ح_تیر17[[#This Row],[وام]]+ج_ح_تیر17[[#This Row],[مساعده]]+ج_ح_تیر17[[#This Row],[بیمه پرداختنی]]+ج_ح_تیر17[[#This Row],[مالیات پرداختنی]],"")</f>
        <v/>
      </c>
      <c r="W140" s="46" t="str">
        <f>IFERROR(ج_ح_تیر17[[#This Row],[جمع ح و م]]-ج_ح_تیر17[[#This Row],[جمع کسورات]],"")</f>
        <v/>
      </c>
    </row>
    <row r="141" spans="2:23" s="41" customFormat="1" ht="32.1" customHeight="1">
      <c r="B141" s="41">
        <f t="shared" si="2"/>
        <v>4</v>
      </c>
      <c r="C141" s="42" t="str">
        <f>IF(ج_ح_تیر17[[#This Row],[نام]]&lt;&gt;"",ROW()-118+1,"")</f>
        <v/>
      </c>
      <c r="D141" s="43"/>
      <c r="E141" s="43"/>
      <c r="F141" s="44"/>
      <c r="G141" s="45"/>
      <c r="H141" s="46" t="str">
        <f>IF(ج_ح_تیر17[[#This Row],[کارکرد]]*ج_ح_تیر17[[#This Row],[دستمزد روزانه ]]=0,"",ج_ح_تیر17[[#This Row],[کارکرد]]*ج_ح_تیر17[[#This Row],[دستمزد روزانه ]])</f>
        <v/>
      </c>
      <c r="I141" s="47"/>
      <c r="J141" s="48">
        <f>(ج_ح_تیر17[[#This Row],[دستمزد روزانه ]]/7.33)*1.4*ج_ح_تیر17[[#This Row],[مدت اضافه کاری ]]</f>
        <v>0</v>
      </c>
      <c r="K141" s="46" t="str">
        <f>IF(ج_ح_تیر17[[#This Row],[کارکرد]]="","",ج_ح_تیر17[[#This Row],[کارکرد]]*حق_مسکن/30)</f>
        <v/>
      </c>
      <c r="L141" s="49"/>
      <c r="M141" s="46" t="str">
        <f>IF(ج_ح_تیر17[[#This Row],[تعداد فرزندان]]="","",ج_ح_تیر17[[#This Row],[کارکرد]]/31*3*ج_ح_تیر17[[#This Row],[تعداد فرزندان]]*حداقل_حقوق_پایه_روزانه)</f>
        <v/>
      </c>
      <c r="N141" s="46" t="str">
        <f>IF(ج_ح_تیر17[[#This Row],[کارکرد]]="","",ج_ح_تیر17[[#This Row],[کارکرد]]*حق_خواربار/30)</f>
        <v/>
      </c>
      <c r="O141" s="46" t="str">
        <f>IFERROR(ج_ح_تیر17[[#This Row],[حقوق پایه]]+ج_ح_تیر17[[#This Row],[اضافه کاری]]+ج_ح_تیر17[[#This Row],[حق مسکن]]+ج_ح_تیر17[[#This Row],[حق اولاد]]+ج_ح_تیر17[[#This Row],[حق و خواروبار]],"")</f>
        <v/>
      </c>
      <c r="P141"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41" s="46" t="str">
        <f>IFERROR(ج_ح_تیر17[[#This Row],[حقوق پایه]]+ج_ح_تیر17[[#This Row],[اضافه کاری]]-(2/7)*ج_ح_تیر17[[#This Row],[بیمه پرداختنی]],"")</f>
        <v/>
      </c>
      <c r="R141" s="45"/>
      <c r="S141" s="45"/>
      <c r="T141" s="46" t="str">
        <f>IFERROR(ج_ح_تیر17[[#This Row],[جمع ح و م م بیمه ]]*7%,"")</f>
        <v/>
      </c>
      <c r="U141"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41" s="46" t="str">
        <f>IFERROR(ج_ح_تیر17[[#This Row],[وام]]+ج_ح_تیر17[[#This Row],[مساعده]]+ج_ح_تیر17[[#This Row],[بیمه پرداختنی]]+ج_ح_تیر17[[#This Row],[مالیات پرداختنی]],"")</f>
        <v/>
      </c>
      <c r="W141" s="46" t="str">
        <f>IFERROR(ج_ح_تیر17[[#This Row],[جمع ح و م]]-ج_ح_تیر17[[#This Row],[جمع کسورات]],"")</f>
        <v/>
      </c>
    </row>
    <row r="142" spans="2:23" s="41" customFormat="1" ht="32.1" customHeight="1">
      <c r="B142" s="41">
        <f t="shared" si="2"/>
        <v>4</v>
      </c>
      <c r="C142" s="42" t="str">
        <f>IF(ج_ح_تیر17[[#This Row],[نام]]&lt;&gt;"",ROW()-118+1,"")</f>
        <v/>
      </c>
      <c r="D142" s="43"/>
      <c r="E142" s="43"/>
      <c r="F142" s="44"/>
      <c r="G142" s="45"/>
      <c r="H142" s="46" t="str">
        <f>IF(ج_ح_تیر17[[#This Row],[کارکرد]]*ج_ح_تیر17[[#This Row],[دستمزد روزانه ]]=0,"",ج_ح_تیر17[[#This Row],[کارکرد]]*ج_ح_تیر17[[#This Row],[دستمزد روزانه ]])</f>
        <v/>
      </c>
      <c r="I142" s="47"/>
      <c r="J142" s="48">
        <f>(ج_ح_تیر17[[#This Row],[دستمزد روزانه ]]/7.33)*1.4*ج_ح_تیر17[[#This Row],[مدت اضافه کاری ]]</f>
        <v>0</v>
      </c>
      <c r="K142" s="46" t="str">
        <f>IF(ج_ح_تیر17[[#This Row],[کارکرد]]="","",ج_ح_تیر17[[#This Row],[کارکرد]]*حق_مسکن/30)</f>
        <v/>
      </c>
      <c r="L142" s="49"/>
      <c r="M142" s="46" t="str">
        <f>IF(ج_ح_تیر17[[#This Row],[تعداد فرزندان]]="","",ج_ح_تیر17[[#This Row],[کارکرد]]/31*3*ج_ح_تیر17[[#This Row],[تعداد فرزندان]]*حداقل_حقوق_پایه_روزانه)</f>
        <v/>
      </c>
      <c r="N142" s="46" t="str">
        <f>IF(ج_ح_تیر17[[#This Row],[کارکرد]]="","",ج_ح_تیر17[[#This Row],[کارکرد]]*حق_خواربار/30)</f>
        <v/>
      </c>
      <c r="O142" s="46" t="str">
        <f>IFERROR(ج_ح_تیر17[[#This Row],[حقوق پایه]]+ج_ح_تیر17[[#This Row],[اضافه کاری]]+ج_ح_تیر17[[#This Row],[حق مسکن]]+ج_ح_تیر17[[#This Row],[حق اولاد]]+ج_ح_تیر17[[#This Row],[حق و خواروبار]],"")</f>
        <v/>
      </c>
      <c r="P142"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42" s="46" t="str">
        <f>IFERROR(ج_ح_تیر17[[#This Row],[حقوق پایه]]+ج_ح_تیر17[[#This Row],[اضافه کاری]]-(2/7)*ج_ح_تیر17[[#This Row],[بیمه پرداختنی]],"")</f>
        <v/>
      </c>
      <c r="R142" s="45"/>
      <c r="S142" s="45"/>
      <c r="T142" s="46" t="str">
        <f>IFERROR(ج_ح_تیر17[[#This Row],[جمع ح و م م بیمه ]]*7%,"")</f>
        <v/>
      </c>
      <c r="U142"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42" s="46" t="str">
        <f>IFERROR(ج_ح_تیر17[[#This Row],[وام]]+ج_ح_تیر17[[#This Row],[مساعده]]+ج_ح_تیر17[[#This Row],[بیمه پرداختنی]]+ج_ح_تیر17[[#This Row],[مالیات پرداختنی]],"")</f>
        <v/>
      </c>
      <c r="W142" s="46" t="str">
        <f>IFERROR(ج_ح_تیر17[[#This Row],[جمع ح و م]]-ج_ح_تیر17[[#This Row],[جمع کسورات]],"")</f>
        <v/>
      </c>
    </row>
    <row r="143" spans="2:23" s="41" customFormat="1" ht="32.1" customHeight="1">
      <c r="B143" s="41">
        <f t="shared" si="2"/>
        <v>4</v>
      </c>
      <c r="C143" s="42" t="str">
        <f>IF(ج_ح_تیر17[[#This Row],[نام]]&lt;&gt;"",ROW()-118+1,"")</f>
        <v/>
      </c>
      <c r="D143" s="43"/>
      <c r="E143" s="43"/>
      <c r="F143" s="44"/>
      <c r="G143" s="45"/>
      <c r="H143" s="46" t="str">
        <f>IF(ج_ح_تیر17[[#This Row],[کارکرد]]*ج_ح_تیر17[[#This Row],[دستمزد روزانه ]]=0,"",ج_ح_تیر17[[#This Row],[کارکرد]]*ج_ح_تیر17[[#This Row],[دستمزد روزانه ]])</f>
        <v/>
      </c>
      <c r="I143" s="47"/>
      <c r="J143" s="48">
        <f>(ج_ح_تیر17[[#This Row],[دستمزد روزانه ]]/7.33)*1.4*ج_ح_تیر17[[#This Row],[مدت اضافه کاری ]]</f>
        <v>0</v>
      </c>
      <c r="K143" s="46" t="str">
        <f>IF(ج_ح_تیر17[[#This Row],[کارکرد]]="","",ج_ح_تیر17[[#This Row],[کارکرد]]*حق_مسکن/30)</f>
        <v/>
      </c>
      <c r="L143" s="49"/>
      <c r="M143" s="46" t="str">
        <f>IF(ج_ح_تیر17[[#This Row],[تعداد فرزندان]]="","",ج_ح_تیر17[[#This Row],[کارکرد]]/31*3*ج_ح_تیر17[[#This Row],[تعداد فرزندان]]*حداقل_حقوق_پایه_روزانه)</f>
        <v/>
      </c>
      <c r="N143" s="46" t="str">
        <f>IF(ج_ح_تیر17[[#This Row],[کارکرد]]="","",ج_ح_تیر17[[#This Row],[کارکرد]]*حق_خواربار/30)</f>
        <v/>
      </c>
      <c r="O143" s="46" t="str">
        <f>IFERROR(ج_ح_تیر17[[#This Row],[حقوق پایه]]+ج_ح_تیر17[[#This Row],[اضافه کاری]]+ج_ح_تیر17[[#This Row],[حق مسکن]]+ج_ح_تیر17[[#This Row],[حق اولاد]]+ج_ح_تیر17[[#This Row],[حق و خواروبار]],"")</f>
        <v/>
      </c>
      <c r="P143"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43" s="46" t="str">
        <f>IFERROR(ج_ح_تیر17[[#This Row],[حقوق پایه]]+ج_ح_تیر17[[#This Row],[اضافه کاری]]-(2/7)*ج_ح_تیر17[[#This Row],[بیمه پرداختنی]],"")</f>
        <v/>
      </c>
      <c r="R143" s="45"/>
      <c r="S143" s="45"/>
      <c r="T143" s="46" t="str">
        <f>IFERROR(ج_ح_تیر17[[#This Row],[جمع ح و م م بیمه ]]*7%,"")</f>
        <v/>
      </c>
      <c r="U143"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43" s="46" t="str">
        <f>IFERROR(ج_ح_تیر17[[#This Row],[وام]]+ج_ح_تیر17[[#This Row],[مساعده]]+ج_ح_تیر17[[#This Row],[بیمه پرداختنی]]+ج_ح_تیر17[[#This Row],[مالیات پرداختنی]],"")</f>
        <v/>
      </c>
      <c r="W143" s="46" t="str">
        <f>IFERROR(ج_ح_تیر17[[#This Row],[جمع ح و م]]-ج_ح_تیر17[[#This Row],[جمع کسورات]],"")</f>
        <v/>
      </c>
    </row>
    <row r="144" spans="2:23" s="41" customFormat="1" ht="32.1" customHeight="1">
      <c r="B144" s="41">
        <f t="shared" si="2"/>
        <v>4</v>
      </c>
      <c r="C144" s="42" t="str">
        <f>IF(ج_ح_تیر17[[#This Row],[نام]]&lt;&gt;"",ROW()-118+1,"")</f>
        <v/>
      </c>
      <c r="D144" s="43"/>
      <c r="E144" s="43"/>
      <c r="F144" s="44"/>
      <c r="G144" s="45"/>
      <c r="H144" s="46" t="str">
        <f>IF(ج_ح_تیر17[[#This Row],[کارکرد]]*ج_ح_تیر17[[#This Row],[دستمزد روزانه ]]=0,"",ج_ح_تیر17[[#This Row],[کارکرد]]*ج_ح_تیر17[[#This Row],[دستمزد روزانه ]])</f>
        <v/>
      </c>
      <c r="I144" s="47"/>
      <c r="J144" s="48">
        <f>(ج_ح_تیر17[[#This Row],[دستمزد روزانه ]]/7.33)*1.4*ج_ح_تیر17[[#This Row],[مدت اضافه کاری ]]</f>
        <v>0</v>
      </c>
      <c r="K144" s="46" t="str">
        <f>IF(ج_ح_تیر17[[#This Row],[کارکرد]]="","",ج_ح_تیر17[[#This Row],[کارکرد]]*حق_مسکن/30)</f>
        <v/>
      </c>
      <c r="L144" s="49"/>
      <c r="M144" s="46" t="str">
        <f>IF(ج_ح_تیر17[[#This Row],[تعداد فرزندان]]="","",ج_ح_تیر17[[#This Row],[کارکرد]]/31*3*ج_ح_تیر17[[#This Row],[تعداد فرزندان]]*حداقل_حقوق_پایه_روزانه)</f>
        <v/>
      </c>
      <c r="N144" s="46" t="str">
        <f>IF(ج_ح_تیر17[[#This Row],[کارکرد]]="","",ج_ح_تیر17[[#This Row],[کارکرد]]*حق_خواربار/30)</f>
        <v/>
      </c>
      <c r="O144" s="46" t="str">
        <f>IFERROR(ج_ح_تیر17[[#This Row],[حقوق پایه]]+ج_ح_تیر17[[#This Row],[اضافه کاری]]+ج_ح_تیر17[[#This Row],[حق مسکن]]+ج_ح_تیر17[[#This Row],[حق اولاد]]+ج_ح_تیر17[[#This Row],[حق و خواروبار]],"")</f>
        <v/>
      </c>
      <c r="P144"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44" s="46" t="str">
        <f>IFERROR(ج_ح_تیر17[[#This Row],[حقوق پایه]]+ج_ح_تیر17[[#This Row],[اضافه کاری]]-(2/7)*ج_ح_تیر17[[#This Row],[بیمه پرداختنی]],"")</f>
        <v/>
      </c>
      <c r="R144" s="45"/>
      <c r="S144" s="45"/>
      <c r="T144" s="46" t="str">
        <f>IFERROR(ج_ح_تیر17[[#This Row],[جمع ح و م م بیمه ]]*7%,"")</f>
        <v/>
      </c>
      <c r="U144"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44" s="46" t="str">
        <f>IFERROR(ج_ح_تیر17[[#This Row],[وام]]+ج_ح_تیر17[[#This Row],[مساعده]]+ج_ح_تیر17[[#This Row],[بیمه پرداختنی]]+ج_ح_تیر17[[#This Row],[مالیات پرداختنی]],"")</f>
        <v/>
      </c>
      <c r="W144" s="46" t="str">
        <f>IFERROR(ج_ح_تیر17[[#This Row],[جمع ح و م]]-ج_ح_تیر17[[#This Row],[جمع کسورات]],"")</f>
        <v/>
      </c>
    </row>
    <row r="145" spans="1:23" s="41" customFormat="1" ht="32.1" customHeight="1">
      <c r="B145" s="41">
        <f t="shared" si="2"/>
        <v>4</v>
      </c>
      <c r="C145" s="42" t="str">
        <f>IF(ج_ح_تیر17[[#This Row],[نام]]&lt;&gt;"",ROW()-118+1,"")</f>
        <v/>
      </c>
      <c r="D145" s="43"/>
      <c r="E145" s="43"/>
      <c r="F145" s="44"/>
      <c r="G145" s="45"/>
      <c r="H145" s="46" t="str">
        <f>IF(ج_ح_تیر17[[#This Row],[کارکرد]]*ج_ح_تیر17[[#This Row],[دستمزد روزانه ]]=0,"",ج_ح_تیر17[[#This Row],[کارکرد]]*ج_ح_تیر17[[#This Row],[دستمزد روزانه ]])</f>
        <v/>
      </c>
      <c r="I145" s="47"/>
      <c r="J145" s="48">
        <f>(ج_ح_تیر17[[#This Row],[دستمزد روزانه ]]/7.33)*1.4*ج_ح_تیر17[[#This Row],[مدت اضافه کاری ]]</f>
        <v>0</v>
      </c>
      <c r="K145" s="46" t="str">
        <f>IF(ج_ح_تیر17[[#This Row],[کارکرد]]="","",ج_ح_تیر17[[#This Row],[کارکرد]]*حق_مسکن/30)</f>
        <v/>
      </c>
      <c r="L145" s="49"/>
      <c r="M145" s="46" t="str">
        <f>IF(ج_ح_تیر17[[#This Row],[تعداد فرزندان]]="","",ج_ح_تیر17[[#This Row],[کارکرد]]/31*3*ج_ح_تیر17[[#This Row],[تعداد فرزندان]]*حداقل_حقوق_پایه_روزانه)</f>
        <v/>
      </c>
      <c r="N145" s="46" t="str">
        <f>IF(ج_ح_تیر17[[#This Row],[کارکرد]]="","",ج_ح_تیر17[[#This Row],[کارکرد]]*حق_خواربار/30)</f>
        <v/>
      </c>
      <c r="O145" s="46" t="str">
        <f>IFERROR(ج_ح_تیر17[[#This Row],[حقوق پایه]]+ج_ح_تیر17[[#This Row],[اضافه کاری]]+ج_ح_تیر17[[#This Row],[حق مسکن]]+ج_ح_تیر17[[#This Row],[حق اولاد]]+ج_ح_تیر17[[#This Row],[حق و خواروبار]],"")</f>
        <v/>
      </c>
      <c r="P145"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45" s="46" t="str">
        <f>IFERROR(ج_ح_تیر17[[#This Row],[حقوق پایه]]+ج_ح_تیر17[[#This Row],[اضافه کاری]]-(2/7)*ج_ح_تیر17[[#This Row],[بیمه پرداختنی]],"")</f>
        <v/>
      </c>
      <c r="R145" s="45"/>
      <c r="S145" s="45"/>
      <c r="T145" s="46" t="str">
        <f>IFERROR(ج_ح_تیر17[[#This Row],[جمع ح و م م بیمه ]]*7%,"")</f>
        <v/>
      </c>
      <c r="U145"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45" s="46" t="str">
        <f>IFERROR(ج_ح_تیر17[[#This Row],[وام]]+ج_ح_تیر17[[#This Row],[مساعده]]+ج_ح_تیر17[[#This Row],[بیمه پرداختنی]]+ج_ح_تیر17[[#This Row],[مالیات پرداختنی]],"")</f>
        <v/>
      </c>
      <c r="W145" s="46" t="str">
        <f>IFERROR(ج_ح_تیر17[[#This Row],[جمع ح و م]]-ج_ح_تیر17[[#This Row],[جمع کسورات]],"")</f>
        <v/>
      </c>
    </row>
    <row r="146" spans="1:23" s="41" customFormat="1" ht="32.1" customHeight="1">
      <c r="B146" s="41">
        <f t="shared" si="2"/>
        <v>4</v>
      </c>
      <c r="C146" s="42" t="str">
        <f>IF(ج_ح_تیر17[[#This Row],[نام]]&lt;&gt;"",ROW()-118+1,"")</f>
        <v/>
      </c>
      <c r="D146" s="43"/>
      <c r="E146" s="43"/>
      <c r="F146" s="44"/>
      <c r="G146" s="45"/>
      <c r="H146" s="46" t="str">
        <f>IF(ج_ح_تیر17[[#This Row],[کارکرد]]*ج_ح_تیر17[[#This Row],[دستمزد روزانه ]]=0,"",ج_ح_تیر17[[#This Row],[کارکرد]]*ج_ح_تیر17[[#This Row],[دستمزد روزانه ]])</f>
        <v/>
      </c>
      <c r="I146" s="47"/>
      <c r="J146" s="48">
        <f>(ج_ح_تیر17[[#This Row],[دستمزد روزانه ]]/7.33)*1.4*ج_ح_تیر17[[#This Row],[مدت اضافه کاری ]]</f>
        <v>0</v>
      </c>
      <c r="K146" s="46" t="str">
        <f>IF(ج_ح_تیر17[[#This Row],[کارکرد]]="","",ج_ح_تیر17[[#This Row],[کارکرد]]*حق_مسکن/30)</f>
        <v/>
      </c>
      <c r="L146" s="49"/>
      <c r="M146" s="46" t="str">
        <f>IF(ج_ح_تیر17[[#This Row],[تعداد فرزندان]]="","",ج_ح_تیر17[[#This Row],[کارکرد]]/31*3*ج_ح_تیر17[[#This Row],[تعداد فرزندان]]*حداقل_حقوق_پایه_روزانه)</f>
        <v/>
      </c>
      <c r="N146" s="46" t="str">
        <f>IF(ج_ح_تیر17[[#This Row],[کارکرد]]="","",ج_ح_تیر17[[#This Row],[کارکرد]]*حق_خواربار/30)</f>
        <v/>
      </c>
      <c r="O146" s="46" t="str">
        <f>IFERROR(ج_ح_تیر17[[#This Row],[حقوق پایه]]+ج_ح_تیر17[[#This Row],[اضافه کاری]]+ج_ح_تیر17[[#This Row],[حق مسکن]]+ج_ح_تیر17[[#This Row],[حق اولاد]]+ج_ح_تیر17[[#This Row],[حق و خواروبار]],"")</f>
        <v/>
      </c>
      <c r="P146"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46" s="46" t="str">
        <f>IFERROR(ج_ح_تیر17[[#This Row],[حقوق پایه]]+ج_ح_تیر17[[#This Row],[اضافه کاری]]-(2/7)*ج_ح_تیر17[[#This Row],[بیمه پرداختنی]],"")</f>
        <v/>
      </c>
      <c r="R146" s="45"/>
      <c r="S146" s="45"/>
      <c r="T146" s="46" t="str">
        <f>IFERROR(ج_ح_تیر17[[#This Row],[جمع ح و م م بیمه ]]*7%,"")</f>
        <v/>
      </c>
      <c r="U146"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46" s="46" t="str">
        <f>IFERROR(ج_ح_تیر17[[#This Row],[وام]]+ج_ح_تیر17[[#This Row],[مساعده]]+ج_ح_تیر17[[#This Row],[بیمه پرداختنی]]+ج_ح_تیر17[[#This Row],[مالیات پرداختنی]],"")</f>
        <v/>
      </c>
      <c r="W146" s="46" t="str">
        <f>IFERROR(ج_ح_تیر17[[#This Row],[جمع ح و م]]-ج_ح_تیر17[[#This Row],[جمع کسورات]],"")</f>
        <v/>
      </c>
    </row>
    <row r="147" spans="1:23" s="41" customFormat="1" ht="32.1" customHeight="1">
      <c r="B147" s="41">
        <f t="shared" si="2"/>
        <v>4</v>
      </c>
      <c r="C147" s="42" t="str">
        <f>IF(ج_ح_تیر17[[#This Row],[نام]]&lt;&gt;"",ROW()-118+1,"")</f>
        <v/>
      </c>
      <c r="D147" s="43"/>
      <c r="E147" s="43"/>
      <c r="F147" s="44"/>
      <c r="G147" s="45"/>
      <c r="H147" s="46" t="str">
        <f>IF(ج_ح_تیر17[[#This Row],[کارکرد]]*ج_ح_تیر17[[#This Row],[دستمزد روزانه ]]=0,"",ج_ح_تیر17[[#This Row],[کارکرد]]*ج_ح_تیر17[[#This Row],[دستمزد روزانه ]])</f>
        <v/>
      </c>
      <c r="I147" s="47"/>
      <c r="J147" s="48">
        <f>(ج_ح_تیر17[[#This Row],[دستمزد روزانه ]]/7.33)*1.4*ج_ح_تیر17[[#This Row],[مدت اضافه کاری ]]</f>
        <v>0</v>
      </c>
      <c r="K147" s="46" t="str">
        <f>IF(ج_ح_تیر17[[#This Row],[کارکرد]]="","",ج_ح_تیر17[[#This Row],[کارکرد]]*حق_مسکن/30)</f>
        <v/>
      </c>
      <c r="L147" s="49"/>
      <c r="M147" s="46" t="str">
        <f>IF(ج_ح_تیر17[[#This Row],[تعداد فرزندان]]="","",ج_ح_تیر17[[#This Row],[کارکرد]]/31*3*ج_ح_تیر17[[#This Row],[تعداد فرزندان]]*حداقل_حقوق_پایه_روزانه)</f>
        <v/>
      </c>
      <c r="N147" s="46" t="str">
        <f>IF(ج_ح_تیر17[[#This Row],[کارکرد]]="","",ج_ح_تیر17[[#This Row],[کارکرد]]*حق_خواربار/30)</f>
        <v/>
      </c>
      <c r="O147" s="46" t="str">
        <f>IFERROR(ج_ح_تیر17[[#This Row],[حقوق پایه]]+ج_ح_تیر17[[#This Row],[اضافه کاری]]+ج_ح_تیر17[[#This Row],[حق مسکن]]+ج_ح_تیر17[[#This Row],[حق اولاد]]+ج_ح_تیر17[[#This Row],[حق و خواروبار]],"")</f>
        <v/>
      </c>
      <c r="P147" s="46" t="str">
        <f>IFERROR(IF(ج_ح_تیر17[[#This Row],[حقوق پایه]]+ج_ح_تیر17[[#This Row],[اضافه کاری]]+ج_ح_تیر17[[#This Row],[حق مسکن]]+ج_ح_تیر17[[#This Row],[حق و خواروبار]]&gt;حداکثر_حقوق_مشمول_بیمه_ماهانه,حداکثر_حقوق_مشمول_بیمه_ماهانه,ج_ح_تیر17[[#This Row],[حقوق پایه]]+ج_ح_تیر17[[#This Row],[اضافه کاری]]+ج_ح_تیر17[[#This Row],[حق مسکن]]+ج_ح_تیر17[[#This Row],[حق و خواروبار]]),"")</f>
        <v/>
      </c>
      <c r="Q147" s="46" t="str">
        <f>IFERROR(ج_ح_تیر17[[#This Row],[حقوق پایه]]+ج_ح_تیر17[[#This Row],[اضافه کاری]]-(2/7)*ج_ح_تیر17[[#This Row],[بیمه پرداختنی]],"")</f>
        <v/>
      </c>
      <c r="R147" s="45"/>
      <c r="S147" s="45"/>
      <c r="T147" s="46" t="str">
        <f>IFERROR(ج_ح_تیر17[[#This Row],[جمع ح و م م بیمه ]]*7%,"")</f>
        <v/>
      </c>
      <c r="U147" s="50" t="str">
        <f>IFERROR(IF(ج_ح_تیر17[[#This Row],[جمع ح و م م مالیات]]&gt;=320000000,(ج_ح_تیر17[[#This Row],[جمع ح و م م مالیات]]-320000000)*35%+61000000,
IF(ج_ح_تیر17[[#This Row],[جمع ح و م م مالیات]]&gt;=240000000,(ج_ح_تیر17[[#This Row],[جمع ح و م م مالیات]]-240000000)*30%+37000000,
IF(ج_ح_تیر17[[#This Row],[جمع ح و م م مالیات]]&gt;=180000000,(ج_ح_تیر17[[#This Row],[جمع ح و م م مالیات]]-180000000)*25%+22000000,
IF(ج_ح_تیر17[[#This Row],[جمع ح و م م مالیات]]&gt;=120000000,(ج_ح_تیر17[[#This Row],[جمع ح و م م مالیات]]-12000000)*20%+10000000,
IF(ج_ح_تیر17[[#This Row],[جمع ح و م م مالیات]]&gt;=80000000,(ج_ح_تیر17[[#This Row],[جمع ح و م م مالیات]]-80000000)*15%+4000000,
IF(ج_ح_تیر17[[#This Row],[جمع ح و م م مالیات]]&gt;=40000000,(ج_ح_تیر17[[#This Row],[جمع ح و م م مالیات]]-40000000)*10%,0)))))),"")</f>
        <v/>
      </c>
      <c r="V147" s="46" t="str">
        <f>IFERROR(ج_ح_تیر17[[#This Row],[وام]]+ج_ح_تیر17[[#This Row],[مساعده]]+ج_ح_تیر17[[#This Row],[بیمه پرداختنی]]+ج_ح_تیر17[[#This Row],[مالیات پرداختنی]],"")</f>
        <v/>
      </c>
      <c r="W147" s="46" t="str">
        <f>IFERROR(ج_ح_تیر17[[#This Row],[جمع ح و م]]-ج_ح_تیر17[[#This Row],[جمع کسورات]],"")</f>
        <v/>
      </c>
    </row>
    <row r="148" spans="1:23" ht="32.1" customHeight="1">
      <c r="B148" s="32">
        <f t="shared" si="2"/>
        <v>4</v>
      </c>
      <c r="C148" s="51"/>
      <c r="D148" s="52"/>
      <c r="E148" s="52" t="s">
        <v>124</v>
      </c>
      <c r="F148" s="53">
        <f>SUBTOTAL(109,ج_ح_تیر17[کارکرد])</f>
        <v>31</v>
      </c>
      <c r="G148" s="54">
        <f>SUBTOTAL(109,ج_ح_تیر17[[دستمزد روزانه ]])</f>
        <v>1000000</v>
      </c>
      <c r="H148" s="54">
        <f>SUBTOTAL(109,ج_ح_تیر17[حقوق پایه])</f>
        <v>31000000</v>
      </c>
      <c r="I148" s="55">
        <f>SUBTOTAL(109,ج_ح_تیر17[[مدت اضافه کاری ]])</f>
        <v>7.33</v>
      </c>
      <c r="J148" s="56">
        <f>SUBTOTAL(109,ج_ح_تیر17[اضافه کاری])</f>
        <v>1400000</v>
      </c>
      <c r="K148" s="54">
        <f>SUBTOTAL(109,ج_ح_تیر17[حق مسکن])</f>
        <v>0</v>
      </c>
      <c r="L148" s="57">
        <f>SUBTOTAL(109,ج_ح_تیر17[تعداد فرزندان])</f>
        <v>1</v>
      </c>
      <c r="M148" s="54">
        <f>SUBTOTAL(109,ج_ح_تیر17[حق اولاد])</f>
        <v>0</v>
      </c>
      <c r="N148" s="54">
        <f>SUBTOTAL(109,ج_ح_تیر17[حق و خواروبار])</f>
        <v>0</v>
      </c>
      <c r="O148" s="54">
        <f>SUBTOTAL(109,ج_ح_تیر17[جمع ح و م])</f>
        <v>32400000</v>
      </c>
      <c r="P148" s="54">
        <f>SUBTOTAL(109,ج_ح_تیر17[[جمع ح و م م بیمه ]])</f>
        <v>0</v>
      </c>
      <c r="Q148" s="54">
        <f>SUBTOTAL(109,ج_ح_تیر17[جمع ح و م م مالیات])</f>
        <v>0</v>
      </c>
      <c r="R148" s="54">
        <f>SUBTOTAL(109,ج_ح_تیر17[وام])</f>
        <v>0</v>
      </c>
      <c r="S148" s="54">
        <f>SUBTOTAL(109,ج_ح_تیر17[مساعده])</f>
        <v>0</v>
      </c>
      <c r="T148" s="54">
        <f>SUBTOTAL(109,ج_ح_تیر17[بیمه پرداختنی])</f>
        <v>0</v>
      </c>
      <c r="U148" s="54">
        <f>SUBTOTAL(109,ج_ح_تیر17[مالیات پرداختنی])</f>
        <v>0</v>
      </c>
      <c r="V148" s="54">
        <f>SUBTOTAL(109,ج_ح_تیر17[جمع کسورات])</f>
        <v>0</v>
      </c>
      <c r="W148" s="54">
        <f>SUBTOTAL(109,ج_ح_تیر17[خالص قابل پرداخت])</f>
        <v>0</v>
      </c>
    </row>
    <row r="149" spans="1:23" ht="8.1" customHeight="1"/>
    <row r="150" spans="1:23" s="33" customFormat="1" ht="39.950000000000003" customHeight="1">
      <c r="A150" s="34"/>
      <c r="B150" s="34"/>
      <c r="C150" s="109" t="s">
        <v>94</v>
      </c>
      <c r="D150" s="109"/>
      <c r="E150" s="109"/>
      <c r="F150" s="109"/>
      <c r="G150" s="109"/>
      <c r="H150" s="109"/>
      <c r="I150" s="109"/>
      <c r="J150" s="109"/>
      <c r="K150" s="109"/>
      <c r="L150" s="109"/>
      <c r="M150" s="109"/>
      <c r="N150" s="109"/>
      <c r="O150" s="109"/>
      <c r="P150" s="109"/>
      <c r="Q150" s="109"/>
      <c r="R150" s="109"/>
      <c r="S150" s="109"/>
      <c r="T150" s="109"/>
      <c r="U150" s="109"/>
      <c r="V150" s="109"/>
      <c r="W150" s="109"/>
    </row>
    <row r="151" spans="1:23" s="33" customFormat="1" ht="50.1" customHeight="1">
      <c r="C151" s="110" t="s">
        <v>129</v>
      </c>
      <c r="D151" s="110"/>
      <c r="E151" s="110"/>
      <c r="F151" s="110"/>
      <c r="G151" s="110"/>
      <c r="H151" s="110"/>
      <c r="I151" s="110"/>
      <c r="J151" s="110"/>
      <c r="K151" s="110"/>
      <c r="L151" s="110"/>
      <c r="M151" s="110"/>
      <c r="N151" s="110"/>
      <c r="O151" s="110"/>
      <c r="P151" s="110"/>
      <c r="Q151" s="110"/>
      <c r="R151" s="110"/>
      <c r="S151" s="110"/>
      <c r="T151" s="110"/>
      <c r="U151" s="110"/>
      <c r="V151" s="110"/>
      <c r="W151" s="110"/>
    </row>
    <row r="152" spans="1:23" s="35" customFormat="1" ht="50.1" customHeight="1">
      <c r="C152" s="104" t="s">
        <v>45</v>
      </c>
      <c r="D152" s="36" t="s">
        <v>96</v>
      </c>
      <c r="E152" s="36" t="s">
        <v>97</v>
      </c>
      <c r="F152" s="36" t="s">
        <v>98</v>
      </c>
      <c r="G152" s="36" t="s">
        <v>99</v>
      </c>
      <c r="H152" s="36" t="s">
        <v>100</v>
      </c>
      <c r="I152" s="36" t="s">
        <v>101</v>
      </c>
      <c r="J152" s="36" t="s">
        <v>102</v>
      </c>
      <c r="K152" s="36" t="s">
        <v>17</v>
      </c>
      <c r="L152" s="36" t="s">
        <v>103</v>
      </c>
      <c r="M152" s="36" t="s">
        <v>104</v>
      </c>
      <c r="N152" s="36" t="s">
        <v>105</v>
      </c>
      <c r="O152" s="36" t="s">
        <v>106</v>
      </c>
      <c r="P152" s="36" t="s">
        <v>107</v>
      </c>
      <c r="Q152" s="36" t="s">
        <v>108</v>
      </c>
      <c r="R152" s="36" t="s">
        <v>109</v>
      </c>
      <c r="S152" s="36" t="s">
        <v>110</v>
      </c>
      <c r="T152" s="36" t="s">
        <v>111</v>
      </c>
      <c r="U152" s="36" t="s">
        <v>112</v>
      </c>
      <c r="V152" s="36" t="s">
        <v>113</v>
      </c>
      <c r="W152" s="36" t="s">
        <v>114</v>
      </c>
    </row>
    <row r="153" spans="1:23" s="33" customFormat="1" ht="32.1" customHeight="1">
      <c r="C153" s="104"/>
      <c r="D153" s="37">
        <v>1</v>
      </c>
      <c r="E153" s="37">
        <v>2</v>
      </c>
      <c r="F153" s="37">
        <v>3</v>
      </c>
      <c r="G153" s="37">
        <v>4</v>
      </c>
      <c r="H153" s="37">
        <v>5</v>
      </c>
      <c r="I153" s="37">
        <v>6</v>
      </c>
      <c r="J153" s="37">
        <v>7</v>
      </c>
      <c r="K153" s="37">
        <v>8</v>
      </c>
      <c r="L153" s="37">
        <v>9</v>
      </c>
      <c r="M153" s="37">
        <v>10</v>
      </c>
      <c r="N153" s="37">
        <v>11</v>
      </c>
      <c r="O153" s="37">
        <v>12</v>
      </c>
      <c r="P153" s="37">
        <v>13</v>
      </c>
      <c r="Q153" s="37">
        <v>14</v>
      </c>
      <c r="R153" s="37">
        <v>15</v>
      </c>
      <c r="S153" s="37">
        <v>16</v>
      </c>
      <c r="T153" s="37">
        <v>17</v>
      </c>
      <c r="U153" s="37">
        <v>18</v>
      </c>
      <c r="V153" s="37">
        <v>19</v>
      </c>
      <c r="W153" s="38">
        <v>20</v>
      </c>
    </row>
    <row r="154" spans="1:23" s="33" customFormat="1" ht="20.100000000000001" customHeight="1">
      <c r="C154" s="39" t="s">
        <v>45</v>
      </c>
      <c r="D154" s="39" t="s">
        <v>96</v>
      </c>
      <c r="E154" s="39" t="s">
        <v>97</v>
      </c>
      <c r="F154" s="39" t="s">
        <v>98</v>
      </c>
      <c r="G154" s="39" t="s">
        <v>99</v>
      </c>
      <c r="H154" s="39" t="s">
        <v>100</v>
      </c>
      <c r="I154" s="39" t="s">
        <v>115</v>
      </c>
      <c r="J154" s="39" t="s">
        <v>102</v>
      </c>
      <c r="K154" s="39" t="s">
        <v>17</v>
      </c>
      <c r="L154" s="39" t="s">
        <v>116</v>
      </c>
      <c r="M154" s="39" t="s">
        <v>104</v>
      </c>
      <c r="N154" s="39" t="s">
        <v>117</v>
      </c>
      <c r="O154" s="39" t="s">
        <v>118</v>
      </c>
      <c r="P154" s="39" t="s">
        <v>119</v>
      </c>
      <c r="Q154" s="40" t="s">
        <v>120</v>
      </c>
      <c r="R154" s="39" t="s">
        <v>109</v>
      </c>
      <c r="S154" s="39" t="s">
        <v>110</v>
      </c>
      <c r="T154" s="40" t="s">
        <v>121</v>
      </c>
      <c r="U154" s="40" t="s">
        <v>14</v>
      </c>
      <c r="V154" s="39" t="s">
        <v>113</v>
      </c>
      <c r="W154" s="39" t="s">
        <v>122</v>
      </c>
    </row>
    <row r="155" spans="1:23" s="41" customFormat="1" ht="32.1" customHeight="1">
      <c r="B155" s="41">
        <f>B148+1</f>
        <v>5</v>
      </c>
      <c r="C155" s="42">
        <f>IF(ج_ح_مرداد18[[#This Row],[نام]]&lt;&gt;"",ROW()-155+1,"")</f>
        <v>1</v>
      </c>
      <c r="D155" s="43" t="s">
        <v>123</v>
      </c>
      <c r="E155" s="43" t="s">
        <v>123</v>
      </c>
      <c r="F155" s="44">
        <v>31</v>
      </c>
      <c r="G155" s="45">
        <v>1000000</v>
      </c>
      <c r="H155" s="46">
        <f>IF(ج_ح_مرداد18[[#This Row],[کارکرد]]*ج_ح_مرداد18[[#This Row],[دستمزد روزانه ]]=0,"",ج_ح_مرداد18[[#This Row],[کارکرد]]*ج_ح_مرداد18[[#This Row],[دستمزد روزانه ]])</f>
        <v>31000000</v>
      </c>
      <c r="I155" s="47">
        <v>7.33</v>
      </c>
      <c r="J155" s="48">
        <f>(ج_ح_مرداد18[[#This Row],[دستمزد روزانه ]]/7.33)*1.4*ج_ح_مرداد18[[#This Row],[مدت اضافه کاری ]]</f>
        <v>1400000</v>
      </c>
      <c r="K155" s="46">
        <f>IF(ج_ح_مرداد18[[#This Row],[کارکرد]]="","",ج_ح_مرداد18[[#This Row],[کارکرد]]*حق_مسکن/30)</f>
        <v>0</v>
      </c>
      <c r="L155" s="49">
        <v>1</v>
      </c>
      <c r="M155" s="46">
        <f>IF(ج_ح_مرداد18[[#This Row],[تعداد فرزندان]]="","",ج_ح_مرداد18[[#This Row],[کارکرد]]/31*3*ج_ح_مرداد18[[#This Row],[تعداد فرزندان]]*حداقل_حقوق_پایه_روزانه)</f>
        <v>0</v>
      </c>
      <c r="N155" s="46">
        <f>IF(ج_ح_مرداد18[[#This Row],[کارکرد]]="","",ج_ح_مرداد18[[#This Row],[کارکرد]]*حق_خواربار/30)</f>
        <v>0</v>
      </c>
      <c r="O155" s="46">
        <f>IFERROR(ج_ح_مرداد18[[#This Row],[حقوق پایه]]+ج_ح_مرداد18[[#This Row],[اضافه کاری]]+ج_ح_مرداد18[[#This Row],[حق مسکن]]+ج_ح_مرداد18[[#This Row],[حق اولاد]]+ج_ح_مرداد18[[#This Row],[حق و خواروبار]],"")</f>
        <v>32400000</v>
      </c>
      <c r="P155"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55" s="46" t="str">
        <f>IFERROR(ج_ح_مرداد18[[#This Row],[حقوق پایه]]+ج_ح_مرداد18[[#This Row],[اضافه کاری]]-(2/7)*ج_ح_مرداد18[[#This Row],[بیمه پرداختنی]],"")</f>
        <v/>
      </c>
      <c r="R155" s="45"/>
      <c r="S155" s="45"/>
      <c r="T155" s="46" t="str">
        <f>IFERROR(ج_ح_مرداد18[[#This Row],[جمع ح و م م بیمه ]]*7%,"")</f>
        <v/>
      </c>
      <c r="U155"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55" s="46" t="str">
        <f>IFERROR(ج_ح_مرداد18[[#This Row],[وام]]+ج_ح_مرداد18[[#This Row],[مساعده]]+ج_ح_مرداد18[[#This Row],[بیمه پرداختنی]]+ج_ح_مرداد18[[#This Row],[مالیات پرداختنی]],"")</f>
        <v/>
      </c>
      <c r="W155" s="46" t="str">
        <f>IFERROR(ج_ح_مرداد18[[#This Row],[جمع ح و م]]-ج_ح_مرداد18[[#This Row],[جمع کسورات]],"")</f>
        <v/>
      </c>
    </row>
    <row r="156" spans="1:23" s="41" customFormat="1" ht="32.1" customHeight="1">
      <c r="B156" s="41">
        <f>B155</f>
        <v>5</v>
      </c>
      <c r="C156" s="42" t="str">
        <f>IF(ج_ح_مرداد18[[#This Row],[نام]]&lt;&gt;"",ROW()-155+1,"")</f>
        <v/>
      </c>
      <c r="D156" s="43"/>
      <c r="E156" s="43"/>
      <c r="F156" s="44"/>
      <c r="G156" s="45"/>
      <c r="H156" s="46" t="str">
        <f>IF(ج_ح_مرداد18[[#This Row],[کارکرد]]*ج_ح_مرداد18[[#This Row],[دستمزد روزانه ]]=0,"",ج_ح_مرداد18[[#This Row],[کارکرد]]*ج_ح_مرداد18[[#This Row],[دستمزد روزانه ]])</f>
        <v/>
      </c>
      <c r="I156" s="47"/>
      <c r="J156" s="48">
        <f>(ج_ح_مرداد18[[#This Row],[دستمزد روزانه ]]/7.33)*1.4*ج_ح_مرداد18[[#This Row],[مدت اضافه کاری ]]</f>
        <v>0</v>
      </c>
      <c r="K156" s="46" t="str">
        <f>IF(ج_ح_مرداد18[[#This Row],[کارکرد]]="","",ج_ح_مرداد18[[#This Row],[کارکرد]]*حق_مسکن/30)</f>
        <v/>
      </c>
      <c r="L156" s="49"/>
      <c r="M156" s="46" t="str">
        <f>IF(ج_ح_مرداد18[[#This Row],[تعداد فرزندان]]="","",ج_ح_مرداد18[[#This Row],[کارکرد]]/31*3*ج_ح_مرداد18[[#This Row],[تعداد فرزندان]]*حداقل_حقوق_پایه_روزانه)</f>
        <v/>
      </c>
      <c r="N156" s="46" t="str">
        <f>IF(ج_ح_مرداد18[[#This Row],[کارکرد]]="","",ج_ح_مرداد18[[#This Row],[کارکرد]]*حق_خواربار/30)</f>
        <v/>
      </c>
      <c r="O156" s="46" t="str">
        <f>IFERROR(ج_ح_مرداد18[[#This Row],[حقوق پایه]]+ج_ح_مرداد18[[#This Row],[اضافه کاری]]+ج_ح_مرداد18[[#This Row],[حق مسکن]]+ج_ح_مرداد18[[#This Row],[حق اولاد]]+ج_ح_مرداد18[[#This Row],[حق و خواروبار]],"")</f>
        <v/>
      </c>
      <c r="P156"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56" s="46" t="str">
        <f>IFERROR(ج_ح_مرداد18[[#This Row],[حقوق پایه]]+ج_ح_مرداد18[[#This Row],[اضافه کاری]]-(2/7)*ج_ح_مرداد18[[#This Row],[بیمه پرداختنی]],"")</f>
        <v/>
      </c>
      <c r="R156" s="45"/>
      <c r="S156" s="45"/>
      <c r="T156" s="46" t="str">
        <f>IFERROR(ج_ح_مرداد18[[#This Row],[جمع ح و م م بیمه ]]*7%,"")</f>
        <v/>
      </c>
      <c r="U156"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56" s="46" t="str">
        <f>IFERROR(ج_ح_مرداد18[[#This Row],[وام]]+ج_ح_مرداد18[[#This Row],[مساعده]]+ج_ح_مرداد18[[#This Row],[بیمه پرداختنی]]+ج_ح_مرداد18[[#This Row],[مالیات پرداختنی]],"")</f>
        <v/>
      </c>
      <c r="W156" s="46" t="str">
        <f>IFERROR(ج_ح_مرداد18[[#This Row],[جمع ح و م]]-ج_ح_مرداد18[[#This Row],[جمع کسورات]],"")</f>
        <v/>
      </c>
    </row>
    <row r="157" spans="1:23" s="41" customFormat="1" ht="32.1" customHeight="1">
      <c r="B157" s="41">
        <f t="shared" ref="B157:B185" si="3">B156</f>
        <v>5</v>
      </c>
      <c r="C157" s="42" t="str">
        <f>IF(ج_ح_مرداد18[[#This Row],[نام]]&lt;&gt;"",ROW()-155+1,"")</f>
        <v/>
      </c>
      <c r="D157" s="43"/>
      <c r="E157" s="43"/>
      <c r="F157" s="44"/>
      <c r="G157" s="45"/>
      <c r="H157" s="46" t="str">
        <f>IF(ج_ح_مرداد18[[#This Row],[کارکرد]]*ج_ح_مرداد18[[#This Row],[دستمزد روزانه ]]=0,"",ج_ح_مرداد18[[#This Row],[کارکرد]]*ج_ح_مرداد18[[#This Row],[دستمزد روزانه ]])</f>
        <v/>
      </c>
      <c r="I157" s="47"/>
      <c r="J157" s="48">
        <f>(ج_ح_مرداد18[[#This Row],[دستمزد روزانه ]]/7.33)*1.4*ج_ح_مرداد18[[#This Row],[مدت اضافه کاری ]]</f>
        <v>0</v>
      </c>
      <c r="K157" s="46" t="str">
        <f>IF(ج_ح_مرداد18[[#This Row],[کارکرد]]="","",ج_ح_مرداد18[[#This Row],[کارکرد]]*حق_مسکن/30)</f>
        <v/>
      </c>
      <c r="L157" s="49"/>
      <c r="M157" s="46" t="str">
        <f>IF(ج_ح_مرداد18[[#This Row],[تعداد فرزندان]]="","",ج_ح_مرداد18[[#This Row],[کارکرد]]/31*3*ج_ح_مرداد18[[#This Row],[تعداد فرزندان]]*حداقل_حقوق_پایه_روزانه)</f>
        <v/>
      </c>
      <c r="N157" s="46" t="str">
        <f>IF(ج_ح_مرداد18[[#This Row],[کارکرد]]="","",ج_ح_مرداد18[[#This Row],[کارکرد]]*حق_خواربار/30)</f>
        <v/>
      </c>
      <c r="O157" s="46" t="str">
        <f>IFERROR(ج_ح_مرداد18[[#This Row],[حقوق پایه]]+ج_ح_مرداد18[[#This Row],[اضافه کاری]]+ج_ح_مرداد18[[#This Row],[حق مسکن]]+ج_ح_مرداد18[[#This Row],[حق اولاد]]+ج_ح_مرداد18[[#This Row],[حق و خواروبار]],"")</f>
        <v/>
      </c>
      <c r="P157"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57" s="46" t="str">
        <f>IFERROR(ج_ح_مرداد18[[#This Row],[حقوق پایه]]+ج_ح_مرداد18[[#This Row],[اضافه کاری]]-(2/7)*ج_ح_مرداد18[[#This Row],[بیمه پرداختنی]],"")</f>
        <v/>
      </c>
      <c r="R157" s="45"/>
      <c r="S157" s="45"/>
      <c r="T157" s="46" t="str">
        <f>IFERROR(ج_ح_مرداد18[[#This Row],[جمع ح و م م بیمه ]]*7%,"")</f>
        <v/>
      </c>
      <c r="U157"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57" s="46" t="str">
        <f>IFERROR(ج_ح_مرداد18[[#This Row],[وام]]+ج_ح_مرداد18[[#This Row],[مساعده]]+ج_ح_مرداد18[[#This Row],[بیمه پرداختنی]]+ج_ح_مرداد18[[#This Row],[مالیات پرداختنی]],"")</f>
        <v/>
      </c>
      <c r="W157" s="46" t="str">
        <f>IFERROR(ج_ح_مرداد18[[#This Row],[جمع ح و م]]-ج_ح_مرداد18[[#This Row],[جمع کسورات]],"")</f>
        <v/>
      </c>
    </row>
    <row r="158" spans="1:23" s="41" customFormat="1" ht="32.1" customHeight="1">
      <c r="B158" s="41">
        <f t="shared" si="3"/>
        <v>5</v>
      </c>
      <c r="C158" s="42" t="str">
        <f>IF(ج_ح_مرداد18[[#This Row],[نام]]&lt;&gt;"",ROW()-155+1,"")</f>
        <v/>
      </c>
      <c r="D158" s="43"/>
      <c r="E158" s="43"/>
      <c r="F158" s="44"/>
      <c r="G158" s="45"/>
      <c r="H158" s="46" t="str">
        <f>IF(ج_ح_مرداد18[[#This Row],[کارکرد]]*ج_ح_مرداد18[[#This Row],[دستمزد روزانه ]]=0,"",ج_ح_مرداد18[[#This Row],[کارکرد]]*ج_ح_مرداد18[[#This Row],[دستمزد روزانه ]])</f>
        <v/>
      </c>
      <c r="I158" s="47"/>
      <c r="J158" s="48">
        <f>(ج_ح_مرداد18[[#This Row],[دستمزد روزانه ]]/7.33)*1.4*ج_ح_مرداد18[[#This Row],[مدت اضافه کاری ]]</f>
        <v>0</v>
      </c>
      <c r="K158" s="46" t="str">
        <f>IF(ج_ح_مرداد18[[#This Row],[کارکرد]]="","",ج_ح_مرداد18[[#This Row],[کارکرد]]*حق_مسکن/30)</f>
        <v/>
      </c>
      <c r="L158" s="49"/>
      <c r="M158" s="46" t="str">
        <f>IF(ج_ح_مرداد18[[#This Row],[تعداد فرزندان]]="","",ج_ح_مرداد18[[#This Row],[کارکرد]]/31*3*ج_ح_مرداد18[[#This Row],[تعداد فرزندان]]*حداقل_حقوق_پایه_روزانه)</f>
        <v/>
      </c>
      <c r="N158" s="46" t="str">
        <f>IF(ج_ح_مرداد18[[#This Row],[کارکرد]]="","",ج_ح_مرداد18[[#This Row],[کارکرد]]*حق_خواربار/30)</f>
        <v/>
      </c>
      <c r="O158" s="46" t="str">
        <f>IFERROR(ج_ح_مرداد18[[#This Row],[حقوق پایه]]+ج_ح_مرداد18[[#This Row],[اضافه کاری]]+ج_ح_مرداد18[[#This Row],[حق مسکن]]+ج_ح_مرداد18[[#This Row],[حق اولاد]]+ج_ح_مرداد18[[#This Row],[حق و خواروبار]],"")</f>
        <v/>
      </c>
      <c r="P158"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58" s="46" t="str">
        <f>IFERROR(ج_ح_مرداد18[[#This Row],[حقوق پایه]]+ج_ح_مرداد18[[#This Row],[اضافه کاری]]-(2/7)*ج_ح_مرداد18[[#This Row],[بیمه پرداختنی]],"")</f>
        <v/>
      </c>
      <c r="R158" s="45"/>
      <c r="S158" s="45"/>
      <c r="T158" s="46" t="str">
        <f>IFERROR(ج_ح_مرداد18[[#This Row],[جمع ح و م م بیمه ]]*7%,"")</f>
        <v/>
      </c>
      <c r="U158"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58" s="46" t="str">
        <f>IFERROR(ج_ح_مرداد18[[#This Row],[وام]]+ج_ح_مرداد18[[#This Row],[مساعده]]+ج_ح_مرداد18[[#This Row],[بیمه پرداختنی]]+ج_ح_مرداد18[[#This Row],[مالیات پرداختنی]],"")</f>
        <v/>
      </c>
      <c r="W158" s="46" t="str">
        <f>IFERROR(ج_ح_مرداد18[[#This Row],[جمع ح و م]]-ج_ح_مرداد18[[#This Row],[جمع کسورات]],"")</f>
        <v/>
      </c>
    </row>
    <row r="159" spans="1:23" s="41" customFormat="1" ht="32.1" customHeight="1">
      <c r="B159" s="41">
        <f t="shared" si="3"/>
        <v>5</v>
      </c>
      <c r="C159" s="42" t="str">
        <f>IF(ج_ح_مرداد18[[#This Row],[نام]]&lt;&gt;"",ROW()-155+1,"")</f>
        <v/>
      </c>
      <c r="D159" s="43"/>
      <c r="E159" s="43"/>
      <c r="F159" s="44"/>
      <c r="G159" s="45"/>
      <c r="H159" s="46" t="str">
        <f>IF(ج_ح_مرداد18[[#This Row],[کارکرد]]*ج_ح_مرداد18[[#This Row],[دستمزد روزانه ]]=0,"",ج_ح_مرداد18[[#This Row],[کارکرد]]*ج_ح_مرداد18[[#This Row],[دستمزد روزانه ]])</f>
        <v/>
      </c>
      <c r="I159" s="47"/>
      <c r="J159" s="48">
        <f>(ج_ح_مرداد18[[#This Row],[دستمزد روزانه ]]/7.33)*1.4*ج_ح_مرداد18[[#This Row],[مدت اضافه کاری ]]</f>
        <v>0</v>
      </c>
      <c r="K159" s="46" t="str">
        <f>IF(ج_ح_مرداد18[[#This Row],[کارکرد]]="","",ج_ح_مرداد18[[#This Row],[کارکرد]]*حق_مسکن/30)</f>
        <v/>
      </c>
      <c r="L159" s="49"/>
      <c r="M159" s="46" t="str">
        <f>IF(ج_ح_مرداد18[[#This Row],[تعداد فرزندان]]="","",ج_ح_مرداد18[[#This Row],[کارکرد]]/31*3*ج_ح_مرداد18[[#This Row],[تعداد فرزندان]]*حداقل_حقوق_پایه_روزانه)</f>
        <v/>
      </c>
      <c r="N159" s="46" t="str">
        <f>IF(ج_ح_مرداد18[[#This Row],[کارکرد]]="","",ج_ح_مرداد18[[#This Row],[کارکرد]]*حق_خواربار/30)</f>
        <v/>
      </c>
      <c r="O159" s="46" t="str">
        <f>IFERROR(ج_ح_مرداد18[[#This Row],[حقوق پایه]]+ج_ح_مرداد18[[#This Row],[اضافه کاری]]+ج_ح_مرداد18[[#This Row],[حق مسکن]]+ج_ح_مرداد18[[#This Row],[حق اولاد]]+ج_ح_مرداد18[[#This Row],[حق و خواروبار]],"")</f>
        <v/>
      </c>
      <c r="P159"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59" s="46" t="str">
        <f>IFERROR(ج_ح_مرداد18[[#This Row],[حقوق پایه]]+ج_ح_مرداد18[[#This Row],[اضافه کاری]]-(2/7)*ج_ح_مرداد18[[#This Row],[بیمه پرداختنی]],"")</f>
        <v/>
      </c>
      <c r="R159" s="45"/>
      <c r="S159" s="45"/>
      <c r="T159" s="46" t="str">
        <f>IFERROR(ج_ح_مرداد18[[#This Row],[جمع ح و م م بیمه ]]*7%,"")</f>
        <v/>
      </c>
      <c r="U159"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59" s="46" t="str">
        <f>IFERROR(ج_ح_مرداد18[[#This Row],[وام]]+ج_ح_مرداد18[[#This Row],[مساعده]]+ج_ح_مرداد18[[#This Row],[بیمه پرداختنی]]+ج_ح_مرداد18[[#This Row],[مالیات پرداختنی]],"")</f>
        <v/>
      </c>
      <c r="W159" s="46" t="str">
        <f>IFERROR(ج_ح_مرداد18[[#This Row],[جمع ح و م]]-ج_ح_مرداد18[[#This Row],[جمع کسورات]],"")</f>
        <v/>
      </c>
    </row>
    <row r="160" spans="1:23" s="41" customFormat="1" ht="32.1" customHeight="1">
      <c r="B160" s="41">
        <f t="shared" si="3"/>
        <v>5</v>
      </c>
      <c r="C160" s="42" t="str">
        <f>IF(ج_ح_مرداد18[[#This Row],[نام]]&lt;&gt;"",ROW()-155+1,"")</f>
        <v/>
      </c>
      <c r="D160" s="43"/>
      <c r="E160" s="43"/>
      <c r="F160" s="44"/>
      <c r="G160" s="45"/>
      <c r="H160" s="46" t="str">
        <f>IF(ج_ح_مرداد18[[#This Row],[کارکرد]]*ج_ح_مرداد18[[#This Row],[دستمزد روزانه ]]=0,"",ج_ح_مرداد18[[#This Row],[کارکرد]]*ج_ح_مرداد18[[#This Row],[دستمزد روزانه ]])</f>
        <v/>
      </c>
      <c r="I160" s="47"/>
      <c r="J160" s="48">
        <f>(ج_ح_مرداد18[[#This Row],[دستمزد روزانه ]]/7.33)*1.4*ج_ح_مرداد18[[#This Row],[مدت اضافه کاری ]]</f>
        <v>0</v>
      </c>
      <c r="K160" s="46" t="str">
        <f>IF(ج_ح_مرداد18[[#This Row],[کارکرد]]="","",ج_ح_مرداد18[[#This Row],[کارکرد]]*حق_مسکن/30)</f>
        <v/>
      </c>
      <c r="L160" s="49"/>
      <c r="M160" s="46" t="str">
        <f>IF(ج_ح_مرداد18[[#This Row],[تعداد فرزندان]]="","",ج_ح_مرداد18[[#This Row],[کارکرد]]/31*3*ج_ح_مرداد18[[#This Row],[تعداد فرزندان]]*حداقل_حقوق_پایه_روزانه)</f>
        <v/>
      </c>
      <c r="N160" s="46" t="str">
        <f>IF(ج_ح_مرداد18[[#This Row],[کارکرد]]="","",ج_ح_مرداد18[[#This Row],[کارکرد]]*حق_خواربار/30)</f>
        <v/>
      </c>
      <c r="O160" s="46" t="str">
        <f>IFERROR(ج_ح_مرداد18[[#This Row],[حقوق پایه]]+ج_ح_مرداد18[[#This Row],[اضافه کاری]]+ج_ح_مرداد18[[#This Row],[حق مسکن]]+ج_ح_مرداد18[[#This Row],[حق اولاد]]+ج_ح_مرداد18[[#This Row],[حق و خواروبار]],"")</f>
        <v/>
      </c>
      <c r="P160"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60" s="46" t="str">
        <f>IFERROR(ج_ح_مرداد18[[#This Row],[حقوق پایه]]+ج_ح_مرداد18[[#This Row],[اضافه کاری]]-(2/7)*ج_ح_مرداد18[[#This Row],[بیمه پرداختنی]],"")</f>
        <v/>
      </c>
      <c r="R160" s="45"/>
      <c r="S160" s="45"/>
      <c r="T160" s="46" t="str">
        <f>IFERROR(ج_ح_مرداد18[[#This Row],[جمع ح و م م بیمه ]]*7%,"")</f>
        <v/>
      </c>
      <c r="U160"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60" s="46" t="str">
        <f>IFERROR(ج_ح_مرداد18[[#This Row],[وام]]+ج_ح_مرداد18[[#This Row],[مساعده]]+ج_ح_مرداد18[[#This Row],[بیمه پرداختنی]]+ج_ح_مرداد18[[#This Row],[مالیات پرداختنی]],"")</f>
        <v/>
      </c>
      <c r="W160" s="46" t="str">
        <f>IFERROR(ج_ح_مرداد18[[#This Row],[جمع ح و م]]-ج_ح_مرداد18[[#This Row],[جمع کسورات]],"")</f>
        <v/>
      </c>
    </row>
    <row r="161" spans="2:23" s="41" customFormat="1" ht="32.1" customHeight="1">
      <c r="B161" s="41">
        <f t="shared" si="3"/>
        <v>5</v>
      </c>
      <c r="C161" s="42" t="str">
        <f>IF(ج_ح_مرداد18[[#This Row],[نام]]&lt;&gt;"",ROW()-155+1,"")</f>
        <v/>
      </c>
      <c r="D161" s="43"/>
      <c r="E161" s="43"/>
      <c r="F161" s="44"/>
      <c r="G161" s="45"/>
      <c r="H161" s="46" t="str">
        <f>IF(ج_ح_مرداد18[[#This Row],[کارکرد]]*ج_ح_مرداد18[[#This Row],[دستمزد روزانه ]]=0,"",ج_ح_مرداد18[[#This Row],[کارکرد]]*ج_ح_مرداد18[[#This Row],[دستمزد روزانه ]])</f>
        <v/>
      </c>
      <c r="I161" s="47"/>
      <c r="J161" s="48">
        <f>(ج_ح_مرداد18[[#This Row],[دستمزد روزانه ]]/7.33)*1.4*ج_ح_مرداد18[[#This Row],[مدت اضافه کاری ]]</f>
        <v>0</v>
      </c>
      <c r="K161" s="46" t="str">
        <f>IF(ج_ح_مرداد18[[#This Row],[کارکرد]]="","",ج_ح_مرداد18[[#This Row],[کارکرد]]*حق_مسکن/30)</f>
        <v/>
      </c>
      <c r="L161" s="49"/>
      <c r="M161" s="46" t="str">
        <f>IF(ج_ح_مرداد18[[#This Row],[تعداد فرزندان]]="","",ج_ح_مرداد18[[#This Row],[کارکرد]]/31*3*ج_ح_مرداد18[[#This Row],[تعداد فرزندان]]*حداقل_حقوق_پایه_روزانه)</f>
        <v/>
      </c>
      <c r="N161" s="46" t="str">
        <f>IF(ج_ح_مرداد18[[#This Row],[کارکرد]]="","",ج_ح_مرداد18[[#This Row],[کارکرد]]*حق_خواربار/30)</f>
        <v/>
      </c>
      <c r="O161" s="46" t="str">
        <f>IFERROR(ج_ح_مرداد18[[#This Row],[حقوق پایه]]+ج_ح_مرداد18[[#This Row],[اضافه کاری]]+ج_ح_مرداد18[[#This Row],[حق مسکن]]+ج_ح_مرداد18[[#This Row],[حق اولاد]]+ج_ح_مرداد18[[#This Row],[حق و خواروبار]],"")</f>
        <v/>
      </c>
      <c r="P161"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61" s="46" t="str">
        <f>IFERROR(ج_ح_مرداد18[[#This Row],[حقوق پایه]]+ج_ح_مرداد18[[#This Row],[اضافه کاری]]-(2/7)*ج_ح_مرداد18[[#This Row],[بیمه پرداختنی]],"")</f>
        <v/>
      </c>
      <c r="R161" s="45"/>
      <c r="S161" s="45"/>
      <c r="T161" s="46" t="str">
        <f>IFERROR(ج_ح_مرداد18[[#This Row],[جمع ح و م م بیمه ]]*7%,"")</f>
        <v/>
      </c>
      <c r="U161"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61" s="46" t="str">
        <f>IFERROR(ج_ح_مرداد18[[#This Row],[وام]]+ج_ح_مرداد18[[#This Row],[مساعده]]+ج_ح_مرداد18[[#This Row],[بیمه پرداختنی]]+ج_ح_مرداد18[[#This Row],[مالیات پرداختنی]],"")</f>
        <v/>
      </c>
      <c r="W161" s="46" t="str">
        <f>IFERROR(ج_ح_مرداد18[[#This Row],[جمع ح و م]]-ج_ح_مرداد18[[#This Row],[جمع کسورات]],"")</f>
        <v/>
      </c>
    </row>
    <row r="162" spans="2:23" s="41" customFormat="1" ht="32.1" customHeight="1">
      <c r="B162" s="41">
        <f t="shared" si="3"/>
        <v>5</v>
      </c>
      <c r="C162" s="42" t="str">
        <f>IF(ج_ح_مرداد18[[#This Row],[نام]]&lt;&gt;"",ROW()-155+1,"")</f>
        <v/>
      </c>
      <c r="D162" s="43"/>
      <c r="E162" s="43"/>
      <c r="F162" s="44"/>
      <c r="G162" s="45"/>
      <c r="H162" s="46" t="str">
        <f>IF(ج_ح_مرداد18[[#This Row],[کارکرد]]*ج_ح_مرداد18[[#This Row],[دستمزد روزانه ]]=0,"",ج_ح_مرداد18[[#This Row],[کارکرد]]*ج_ح_مرداد18[[#This Row],[دستمزد روزانه ]])</f>
        <v/>
      </c>
      <c r="I162" s="47"/>
      <c r="J162" s="48">
        <f>(ج_ح_مرداد18[[#This Row],[دستمزد روزانه ]]/7.33)*1.4*ج_ح_مرداد18[[#This Row],[مدت اضافه کاری ]]</f>
        <v>0</v>
      </c>
      <c r="K162" s="46" t="str">
        <f>IF(ج_ح_مرداد18[[#This Row],[کارکرد]]="","",ج_ح_مرداد18[[#This Row],[کارکرد]]*حق_مسکن/30)</f>
        <v/>
      </c>
      <c r="L162" s="49"/>
      <c r="M162" s="46" t="str">
        <f>IF(ج_ح_مرداد18[[#This Row],[تعداد فرزندان]]="","",ج_ح_مرداد18[[#This Row],[کارکرد]]/31*3*ج_ح_مرداد18[[#This Row],[تعداد فرزندان]]*حداقل_حقوق_پایه_روزانه)</f>
        <v/>
      </c>
      <c r="N162" s="46" t="str">
        <f>IF(ج_ح_مرداد18[[#This Row],[کارکرد]]="","",ج_ح_مرداد18[[#This Row],[کارکرد]]*حق_خواربار/30)</f>
        <v/>
      </c>
      <c r="O162" s="46" t="str">
        <f>IFERROR(ج_ح_مرداد18[[#This Row],[حقوق پایه]]+ج_ح_مرداد18[[#This Row],[اضافه کاری]]+ج_ح_مرداد18[[#This Row],[حق مسکن]]+ج_ح_مرداد18[[#This Row],[حق اولاد]]+ج_ح_مرداد18[[#This Row],[حق و خواروبار]],"")</f>
        <v/>
      </c>
      <c r="P162"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62" s="46" t="str">
        <f>IFERROR(ج_ح_مرداد18[[#This Row],[حقوق پایه]]+ج_ح_مرداد18[[#This Row],[اضافه کاری]]-(2/7)*ج_ح_مرداد18[[#This Row],[بیمه پرداختنی]],"")</f>
        <v/>
      </c>
      <c r="R162" s="45"/>
      <c r="S162" s="45"/>
      <c r="T162" s="46" t="str">
        <f>IFERROR(ج_ح_مرداد18[[#This Row],[جمع ح و م م بیمه ]]*7%,"")</f>
        <v/>
      </c>
      <c r="U162"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62" s="46" t="str">
        <f>IFERROR(ج_ح_مرداد18[[#This Row],[وام]]+ج_ح_مرداد18[[#This Row],[مساعده]]+ج_ح_مرداد18[[#This Row],[بیمه پرداختنی]]+ج_ح_مرداد18[[#This Row],[مالیات پرداختنی]],"")</f>
        <v/>
      </c>
      <c r="W162" s="46" t="str">
        <f>IFERROR(ج_ح_مرداد18[[#This Row],[جمع ح و م]]-ج_ح_مرداد18[[#This Row],[جمع کسورات]],"")</f>
        <v/>
      </c>
    </row>
    <row r="163" spans="2:23" s="41" customFormat="1" ht="32.1" customHeight="1">
      <c r="B163" s="41">
        <f t="shared" si="3"/>
        <v>5</v>
      </c>
      <c r="C163" s="42" t="str">
        <f>IF(ج_ح_مرداد18[[#This Row],[نام]]&lt;&gt;"",ROW()-155+1,"")</f>
        <v/>
      </c>
      <c r="D163" s="43"/>
      <c r="E163" s="43"/>
      <c r="F163" s="44"/>
      <c r="G163" s="45"/>
      <c r="H163" s="46" t="str">
        <f>IF(ج_ح_مرداد18[[#This Row],[کارکرد]]*ج_ح_مرداد18[[#This Row],[دستمزد روزانه ]]=0,"",ج_ح_مرداد18[[#This Row],[کارکرد]]*ج_ح_مرداد18[[#This Row],[دستمزد روزانه ]])</f>
        <v/>
      </c>
      <c r="I163" s="47"/>
      <c r="J163" s="48">
        <f>(ج_ح_مرداد18[[#This Row],[دستمزد روزانه ]]/7.33)*1.4*ج_ح_مرداد18[[#This Row],[مدت اضافه کاری ]]</f>
        <v>0</v>
      </c>
      <c r="K163" s="46" t="str">
        <f>IF(ج_ح_مرداد18[[#This Row],[کارکرد]]="","",ج_ح_مرداد18[[#This Row],[کارکرد]]*حق_مسکن/30)</f>
        <v/>
      </c>
      <c r="L163" s="49"/>
      <c r="M163" s="46" t="str">
        <f>IF(ج_ح_مرداد18[[#This Row],[تعداد فرزندان]]="","",ج_ح_مرداد18[[#This Row],[کارکرد]]/31*3*ج_ح_مرداد18[[#This Row],[تعداد فرزندان]]*حداقل_حقوق_پایه_روزانه)</f>
        <v/>
      </c>
      <c r="N163" s="46" t="str">
        <f>IF(ج_ح_مرداد18[[#This Row],[کارکرد]]="","",ج_ح_مرداد18[[#This Row],[کارکرد]]*حق_خواربار/30)</f>
        <v/>
      </c>
      <c r="O163" s="46" t="str">
        <f>IFERROR(ج_ح_مرداد18[[#This Row],[حقوق پایه]]+ج_ح_مرداد18[[#This Row],[اضافه کاری]]+ج_ح_مرداد18[[#This Row],[حق مسکن]]+ج_ح_مرداد18[[#This Row],[حق اولاد]]+ج_ح_مرداد18[[#This Row],[حق و خواروبار]],"")</f>
        <v/>
      </c>
      <c r="P163"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63" s="46" t="str">
        <f>IFERROR(ج_ح_مرداد18[[#This Row],[حقوق پایه]]+ج_ح_مرداد18[[#This Row],[اضافه کاری]]-(2/7)*ج_ح_مرداد18[[#This Row],[بیمه پرداختنی]],"")</f>
        <v/>
      </c>
      <c r="R163" s="45"/>
      <c r="S163" s="45"/>
      <c r="T163" s="46" t="str">
        <f>IFERROR(ج_ح_مرداد18[[#This Row],[جمع ح و م م بیمه ]]*7%,"")</f>
        <v/>
      </c>
      <c r="U163"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63" s="46" t="str">
        <f>IFERROR(ج_ح_مرداد18[[#This Row],[وام]]+ج_ح_مرداد18[[#This Row],[مساعده]]+ج_ح_مرداد18[[#This Row],[بیمه پرداختنی]]+ج_ح_مرداد18[[#This Row],[مالیات پرداختنی]],"")</f>
        <v/>
      </c>
      <c r="W163" s="46" t="str">
        <f>IFERROR(ج_ح_مرداد18[[#This Row],[جمع ح و م]]-ج_ح_مرداد18[[#This Row],[جمع کسورات]],"")</f>
        <v/>
      </c>
    </row>
    <row r="164" spans="2:23" s="41" customFormat="1" ht="32.1" customHeight="1">
      <c r="B164" s="41">
        <f t="shared" si="3"/>
        <v>5</v>
      </c>
      <c r="C164" s="42" t="str">
        <f>IF(ج_ح_مرداد18[[#This Row],[نام]]&lt;&gt;"",ROW()-155+1,"")</f>
        <v/>
      </c>
      <c r="D164" s="43"/>
      <c r="E164" s="43"/>
      <c r="F164" s="44"/>
      <c r="G164" s="45"/>
      <c r="H164" s="46" t="str">
        <f>IF(ج_ح_مرداد18[[#This Row],[کارکرد]]*ج_ح_مرداد18[[#This Row],[دستمزد روزانه ]]=0,"",ج_ح_مرداد18[[#This Row],[کارکرد]]*ج_ح_مرداد18[[#This Row],[دستمزد روزانه ]])</f>
        <v/>
      </c>
      <c r="I164" s="47"/>
      <c r="J164" s="48">
        <f>(ج_ح_مرداد18[[#This Row],[دستمزد روزانه ]]/7.33)*1.4*ج_ح_مرداد18[[#This Row],[مدت اضافه کاری ]]</f>
        <v>0</v>
      </c>
      <c r="K164" s="46" t="str">
        <f>IF(ج_ح_مرداد18[[#This Row],[کارکرد]]="","",ج_ح_مرداد18[[#This Row],[کارکرد]]*حق_مسکن/30)</f>
        <v/>
      </c>
      <c r="L164" s="49"/>
      <c r="M164" s="46" t="str">
        <f>IF(ج_ح_مرداد18[[#This Row],[تعداد فرزندان]]="","",ج_ح_مرداد18[[#This Row],[کارکرد]]/31*3*ج_ح_مرداد18[[#This Row],[تعداد فرزندان]]*حداقل_حقوق_پایه_روزانه)</f>
        <v/>
      </c>
      <c r="N164" s="46" t="str">
        <f>IF(ج_ح_مرداد18[[#This Row],[کارکرد]]="","",ج_ح_مرداد18[[#This Row],[کارکرد]]*حق_خواربار/30)</f>
        <v/>
      </c>
      <c r="O164" s="46" t="str">
        <f>IFERROR(ج_ح_مرداد18[[#This Row],[حقوق پایه]]+ج_ح_مرداد18[[#This Row],[اضافه کاری]]+ج_ح_مرداد18[[#This Row],[حق مسکن]]+ج_ح_مرداد18[[#This Row],[حق اولاد]]+ج_ح_مرداد18[[#This Row],[حق و خواروبار]],"")</f>
        <v/>
      </c>
      <c r="P164"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64" s="46" t="str">
        <f>IFERROR(ج_ح_مرداد18[[#This Row],[حقوق پایه]]+ج_ح_مرداد18[[#This Row],[اضافه کاری]]-(2/7)*ج_ح_مرداد18[[#This Row],[بیمه پرداختنی]],"")</f>
        <v/>
      </c>
      <c r="R164" s="45"/>
      <c r="S164" s="45"/>
      <c r="T164" s="46" t="str">
        <f>IFERROR(ج_ح_مرداد18[[#This Row],[جمع ح و م م بیمه ]]*7%,"")</f>
        <v/>
      </c>
      <c r="U164"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64" s="46" t="str">
        <f>IFERROR(ج_ح_مرداد18[[#This Row],[وام]]+ج_ح_مرداد18[[#This Row],[مساعده]]+ج_ح_مرداد18[[#This Row],[بیمه پرداختنی]]+ج_ح_مرداد18[[#This Row],[مالیات پرداختنی]],"")</f>
        <v/>
      </c>
      <c r="W164" s="46" t="str">
        <f>IFERROR(ج_ح_مرداد18[[#This Row],[جمع ح و م]]-ج_ح_مرداد18[[#This Row],[جمع کسورات]],"")</f>
        <v/>
      </c>
    </row>
    <row r="165" spans="2:23" s="41" customFormat="1" ht="32.1" customHeight="1">
      <c r="B165" s="41">
        <f t="shared" si="3"/>
        <v>5</v>
      </c>
      <c r="C165" s="42" t="str">
        <f>IF(ج_ح_مرداد18[[#This Row],[نام]]&lt;&gt;"",ROW()-155+1,"")</f>
        <v/>
      </c>
      <c r="D165" s="43"/>
      <c r="E165" s="43"/>
      <c r="F165" s="44"/>
      <c r="G165" s="45"/>
      <c r="H165" s="46" t="str">
        <f>IF(ج_ح_مرداد18[[#This Row],[کارکرد]]*ج_ح_مرداد18[[#This Row],[دستمزد روزانه ]]=0,"",ج_ح_مرداد18[[#This Row],[کارکرد]]*ج_ح_مرداد18[[#This Row],[دستمزد روزانه ]])</f>
        <v/>
      </c>
      <c r="I165" s="47"/>
      <c r="J165" s="48">
        <f>(ج_ح_مرداد18[[#This Row],[دستمزد روزانه ]]/7.33)*1.4*ج_ح_مرداد18[[#This Row],[مدت اضافه کاری ]]</f>
        <v>0</v>
      </c>
      <c r="K165" s="46" t="str">
        <f>IF(ج_ح_مرداد18[[#This Row],[کارکرد]]="","",ج_ح_مرداد18[[#This Row],[کارکرد]]*حق_مسکن/30)</f>
        <v/>
      </c>
      <c r="L165" s="49"/>
      <c r="M165" s="46" t="str">
        <f>IF(ج_ح_مرداد18[[#This Row],[تعداد فرزندان]]="","",ج_ح_مرداد18[[#This Row],[کارکرد]]/31*3*ج_ح_مرداد18[[#This Row],[تعداد فرزندان]]*حداقل_حقوق_پایه_روزانه)</f>
        <v/>
      </c>
      <c r="N165" s="46" t="str">
        <f>IF(ج_ح_مرداد18[[#This Row],[کارکرد]]="","",ج_ح_مرداد18[[#This Row],[کارکرد]]*حق_خواربار/30)</f>
        <v/>
      </c>
      <c r="O165" s="46" t="str">
        <f>IFERROR(ج_ح_مرداد18[[#This Row],[حقوق پایه]]+ج_ح_مرداد18[[#This Row],[اضافه کاری]]+ج_ح_مرداد18[[#This Row],[حق مسکن]]+ج_ح_مرداد18[[#This Row],[حق اولاد]]+ج_ح_مرداد18[[#This Row],[حق و خواروبار]],"")</f>
        <v/>
      </c>
      <c r="P165"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65" s="46" t="str">
        <f>IFERROR(ج_ح_مرداد18[[#This Row],[حقوق پایه]]+ج_ح_مرداد18[[#This Row],[اضافه کاری]]-(2/7)*ج_ح_مرداد18[[#This Row],[بیمه پرداختنی]],"")</f>
        <v/>
      </c>
      <c r="R165" s="45"/>
      <c r="S165" s="45"/>
      <c r="T165" s="46" t="str">
        <f>IFERROR(ج_ح_مرداد18[[#This Row],[جمع ح و م م بیمه ]]*7%,"")</f>
        <v/>
      </c>
      <c r="U165"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65" s="46" t="str">
        <f>IFERROR(ج_ح_مرداد18[[#This Row],[وام]]+ج_ح_مرداد18[[#This Row],[مساعده]]+ج_ح_مرداد18[[#This Row],[بیمه پرداختنی]]+ج_ح_مرداد18[[#This Row],[مالیات پرداختنی]],"")</f>
        <v/>
      </c>
      <c r="W165" s="46" t="str">
        <f>IFERROR(ج_ح_مرداد18[[#This Row],[جمع ح و م]]-ج_ح_مرداد18[[#This Row],[جمع کسورات]],"")</f>
        <v/>
      </c>
    </row>
    <row r="166" spans="2:23" s="41" customFormat="1" ht="32.1" customHeight="1">
      <c r="B166" s="41">
        <f t="shared" si="3"/>
        <v>5</v>
      </c>
      <c r="C166" s="42" t="str">
        <f>IF(ج_ح_مرداد18[[#This Row],[نام]]&lt;&gt;"",ROW()-155+1,"")</f>
        <v/>
      </c>
      <c r="D166" s="43"/>
      <c r="E166" s="43"/>
      <c r="F166" s="44"/>
      <c r="G166" s="45"/>
      <c r="H166" s="46" t="str">
        <f>IF(ج_ح_مرداد18[[#This Row],[کارکرد]]*ج_ح_مرداد18[[#This Row],[دستمزد روزانه ]]=0,"",ج_ح_مرداد18[[#This Row],[کارکرد]]*ج_ح_مرداد18[[#This Row],[دستمزد روزانه ]])</f>
        <v/>
      </c>
      <c r="I166" s="47"/>
      <c r="J166" s="48">
        <f>(ج_ح_مرداد18[[#This Row],[دستمزد روزانه ]]/7.33)*1.4*ج_ح_مرداد18[[#This Row],[مدت اضافه کاری ]]</f>
        <v>0</v>
      </c>
      <c r="K166" s="46" t="str">
        <f>IF(ج_ح_مرداد18[[#This Row],[کارکرد]]="","",ج_ح_مرداد18[[#This Row],[کارکرد]]*حق_مسکن/30)</f>
        <v/>
      </c>
      <c r="L166" s="49"/>
      <c r="M166" s="46" t="str">
        <f>IF(ج_ح_مرداد18[[#This Row],[تعداد فرزندان]]="","",ج_ح_مرداد18[[#This Row],[کارکرد]]/31*3*ج_ح_مرداد18[[#This Row],[تعداد فرزندان]]*حداقل_حقوق_پایه_روزانه)</f>
        <v/>
      </c>
      <c r="N166" s="46" t="str">
        <f>IF(ج_ح_مرداد18[[#This Row],[کارکرد]]="","",ج_ح_مرداد18[[#This Row],[کارکرد]]*حق_خواربار/30)</f>
        <v/>
      </c>
      <c r="O166" s="46" t="str">
        <f>IFERROR(ج_ح_مرداد18[[#This Row],[حقوق پایه]]+ج_ح_مرداد18[[#This Row],[اضافه کاری]]+ج_ح_مرداد18[[#This Row],[حق مسکن]]+ج_ح_مرداد18[[#This Row],[حق اولاد]]+ج_ح_مرداد18[[#This Row],[حق و خواروبار]],"")</f>
        <v/>
      </c>
      <c r="P166"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66" s="46" t="str">
        <f>IFERROR(ج_ح_مرداد18[[#This Row],[حقوق پایه]]+ج_ح_مرداد18[[#This Row],[اضافه کاری]]-(2/7)*ج_ح_مرداد18[[#This Row],[بیمه پرداختنی]],"")</f>
        <v/>
      </c>
      <c r="R166" s="45"/>
      <c r="S166" s="45"/>
      <c r="T166" s="46" t="str">
        <f>IFERROR(ج_ح_مرداد18[[#This Row],[جمع ح و م م بیمه ]]*7%,"")</f>
        <v/>
      </c>
      <c r="U166"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66" s="46" t="str">
        <f>IFERROR(ج_ح_مرداد18[[#This Row],[وام]]+ج_ح_مرداد18[[#This Row],[مساعده]]+ج_ح_مرداد18[[#This Row],[بیمه پرداختنی]]+ج_ح_مرداد18[[#This Row],[مالیات پرداختنی]],"")</f>
        <v/>
      </c>
      <c r="W166" s="46" t="str">
        <f>IFERROR(ج_ح_مرداد18[[#This Row],[جمع ح و م]]-ج_ح_مرداد18[[#This Row],[جمع کسورات]],"")</f>
        <v/>
      </c>
    </row>
    <row r="167" spans="2:23" s="41" customFormat="1" ht="32.1" customHeight="1">
      <c r="B167" s="41">
        <f t="shared" si="3"/>
        <v>5</v>
      </c>
      <c r="C167" s="42" t="str">
        <f>IF(ج_ح_مرداد18[[#This Row],[نام]]&lt;&gt;"",ROW()-155+1,"")</f>
        <v/>
      </c>
      <c r="D167" s="43"/>
      <c r="E167" s="43"/>
      <c r="F167" s="44"/>
      <c r="G167" s="45"/>
      <c r="H167" s="46" t="str">
        <f>IF(ج_ح_مرداد18[[#This Row],[کارکرد]]*ج_ح_مرداد18[[#This Row],[دستمزد روزانه ]]=0,"",ج_ح_مرداد18[[#This Row],[کارکرد]]*ج_ح_مرداد18[[#This Row],[دستمزد روزانه ]])</f>
        <v/>
      </c>
      <c r="I167" s="47"/>
      <c r="J167" s="48">
        <f>(ج_ح_مرداد18[[#This Row],[دستمزد روزانه ]]/7.33)*1.4*ج_ح_مرداد18[[#This Row],[مدت اضافه کاری ]]</f>
        <v>0</v>
      </c>
      <c r="K167" s="46" t="str">
        <f>IF(ج_ح_مرداد18[[#This Row],[کارکرد]]="","",ج_ح_مرداد18[[#This Row],[کارکرد]]*حق_مسکن/30)</f>
        <v/>
      </c>
      <c r="L167" s="49"/>
      <c r="M167" s="46" t="str">
        <f>IF(ج_ح_مرداد18[[#This Row],[تعداد فرزندان]]="","",ج_ح_مرداد18[[#This Row],[کارکرد]]/31*3*ج_ح_مرداد18[[#This Row],[تعداد فرزندان]]*حداقل_حقوق_پایه_روزانه)</f>
        <v/>
      </c>
      <c r="N167" s="46" t="str">
        <f>IF(ج_ح_مرداد18[[#This Row],[کارکرد]]="","",ج_ح_مرداد18[[#This Row],[کارکرد]]*حق_خواربار/30)</f>
        <v/>
      </c>
      <c r="O167" s="46" t="str">
        <f>IFERROR(ج_ح_مرداد18[[#This Row],[حقوق پایه]]+ج_ح_مرداد18[[#This Row],[اضافه کاری]]+ج_ح_مرداد18[[#This Row],[حق مسکن]]+ج_ح_مرداد18[[#This Row],[حق اولاد]]+ج_ح_مرداد18[[#This Row],[حق و خواروبار]],"")</f>
        <v/>
      </c>
      <c r="P167"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67" s="46" t="str">
        <f>IFERROR(ج_ح_مرداد18[[#This Row],[حقوق پایه]]+ج_ح_مرداد18[[#This Row],[اضافه کاری]]-(2/7)*ج_ح_مرداد18[[#This Row],[بیمه پرداختنی]],"")</f>
        <v/>
      </c>
      <c r="R167" s="45"/>
      <c r="S167" s="45"/>
      <c r="T167" s="46" t="str">
        <f>IFERROR(ج_ح_مرداد18[[#This Row],[جمع ح و م م بیمه ]]*7%,"")</f>
        <v/>
      </c>
      <c r="U167"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67" s="46" t="str">
        <f>IFERROR(ج_ح_مرداد18[[#This Row],[وام]]+ج_ح_مرداد18[[#This Row],[مساعده]]+ج_ح_مرداد18[[#This Row],[بیمه پرداختنی]]+ج_ح_مرداد18[[#This Row],[مالیات پرداختنی]],"")</f>
        <v/>
      </c>
      <c r="W167" s="46" t="str">
        <f>IFERROR(ج_ح_مرداد18[[#This Row],[جمع ح و م]]-ج_ح_مرداد18[[#This Row],[جمع کسورات]],"")</f>
        <v/>
      </c>
    </row>
    <row r="168" spans="2:23" s="41" customFormat="1" ht="32.1" customHeight="1">
      <c r="B168" s="41">
        <f t="shared" si="3"/>
        <v>5</v>
      </c>
      <c r="C168" s="42" t="str">
        <f>IF(ج_ح_مرداد18[[#This Row],[نام]]&lt;&gt;"",ROW()-155+1,"")</f>
        <v/>
      </c>
      <c r="D168" s="43"/>
      <c r="E168" s="43"/>
      <c r="F168" s="44"/>
      <c r="G168" s="45"/>
      <c r="H168" s="46" t="str">
        <f>IF(ج_ح_مرداد18[[#This Row],[کارکرد]]*ج_ح_مرداد18[[#This Row],[دستمزد روزانه ]]=0,"",ج_ح_مرداد18[[#This Row],[کارکرد]]*ج_ح_مرداد18[[#This Row],[دستمزد روزانه ]])</f>
        <v/>
      </c>
      <c r="I168" s="47"/>
      <c r="J168" s="48">
        <f>(ج_ح_مرداد18[[#This Row],[دستمزد روزانه ]]/7.33)*1.4*ج_ح_مرداد18[[#This Row],[مدت اضافه کاری ]]</f>
        <v>0</v>
      </c>
      <c r="K168" s="46" t="str">
        <f>IF(ج_ح_مرداد18[[#This Row],[کارکرد]]="","",ج_ح_مرداد18[[#This Row],[کارکرد]]*حق_مسکن/30)</f>
        <v/>
      </c>
      <c r="L168" s="49"/>
      <c r="M168" s="46" t="str">
        <f>IF(ج_ح_مرداد18[[#This Row],[تعداد فرزندان]]="","",ج_ح_مرداد18[[#This Row],[کارکرد]]/31*3*ج_ح_مرداد18[[#This Row],[تعداد فرزندان]]*حداقل_حقوق_پایه_روزانه)</f>
        <v/>
      </c>
      <c r="N168" s="46" t="str">
        <f>IF(ج_ح_مرداد18[[#This Row],[کارکرد]]="","",ج_ح_مرداد18[[#This Row],[کارکرد]]*حق_خواربار/30)</f>
        <v/>
      </c>
      <c r="O168" s="46" t="str">
        <f>IFERROR(ج_ح_مرداد18[[#This Row],[حقوق پایه]]+ج_ح_مرداد18[[#This Row],[اضافه کاری]]+ج_ح_مرداد18[[#This Row],[حق مسکن]]+ج_ح_مرداد18[[#This Row],[حق اولاد]]+ج_ح_مرداد18[[#This Row],[حق و خواروبار]],"")</f>
        <v/>
      </c>
      <c r="P168"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68" s="46" t="str">
        <f>IFERROR(ج_ح_مرداد18[[#This Row],[حقوق پایه]]+ج_ح_مرداد18[[#This Row],[اضافه کاری]]-(2/7)*ج_ح_مرداد18[[#This Row],[بیمه پرداختنی]],"")</f>
        <v/>
      </c>
      <c r="R168" s="45"/>
      <c r="S168" s="45"/>
      <c r="T168" s="46" t="str">
        <f>IFERROR(ج_ح_مرداد18[[#This Row],[جمع ح و م م بیمه ]]*7%,"")</f>
        <v/>
      </c>
      <c r="U168"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68" s="46" t="str">
        <f>IFERROR(ج_ح_مرداد18[[#This Row],[وام]]+ج_ح_مرداد18[[#This Row],[مساعده]]+ج_ح_مرداد18[[#This Row],[بیمه پرداختنی]]+ج_ح_مرداد18[[#This Row],[مالیات پرداختنی]],"")</f>
        <v/>
      </c>
      <c r="W168" s="46" t="str">
        <f>IFERROR(ج_ح_مرداد18[[#This Row],[جمع ح و م]]-ج_ح_مرداد18[[#This Row],[جمع کسورات]],"")</f>
        <v/>
      </c>
    </row>
    <row r="169" spans="2:23" s="41" customFormat="1" ht="32.1" customHeight="1">
      <c r="B169" s="41">
        <f t="shared" si="3"/>
        <v>5</v>
      </c>
      <c r="C169" s="42" t="str">
        <f>IF(ج_ح_مرداد18[[#This Row],[نام]]&lt;&gt;"",ROW()-155+1,"")</f>
        <v/>
      </c>
      <c r="D169" s="43"/>
      <c r="E169" s="43"/>
      <c r="F169" s="44"/>
      <c r="G169" s="45"/>
      <c r="H169" s="46" t="str">
        <f>IF(ج_ح_مرداد18[[#This Row],[کارکرد]]*ج_ح_مرداد18[[#This Row],[دستمزد روزانه ]]=0,"",ج_ح_مرداد18[[#This Row],[کارکرد]]*ج_ح_مرداد18[[#This Row],[دستمزد روزانه ]])</f>
        <v/>
      </c>
      <c r="I169" s="47"/>
      <c r="J169" s="48">
        <f>(ج_ح_مرداد18[[#This Row],[دستمزد روزانه ]]/7.33)*1.4*ج_ح_مرداد18[[#This Row],[مدت اضافه کاری ]]</f>
        <v>0</v>
      </c>
      <c r="K169" s="46" t="str">
        <f>IF(ج_ح_مرداد18[[#This Row],[کارکرد]]="","",ج_ح_مرداد18[[#This Row],[کارکرد]]*حق_مسکن/30)</f>
        <v/>
      </c>
      <c r="L169" s="49"/>
      <c r="M169" s="46" t="str">
        <f>IF(ج_ح_مرداد18[[#This Row],[تعداد فرزندان]]="","",ج_ح_مرداد18[[#This Row],[کارکرد]]/31*3*ج_ح_مرداد18[[#This Row],[تعداد فرزندان]]*حداقل_حقوق_پایه_روزانه)</f>
        <v/>
      </c>
      <c r="N169" s="46" t="str">
        <f>IF(ج_ح_مرداد18[[#This Row],[کارکرد]]="","",ج_ح_مرداد18[[#This Row],[کارکرد]]*حق_خواربار/30)</f>
        <v/>
      </c>
      <c r="O169" s="46" t="str">
        <f>IFERROR(ج_ح_مرداد18[[#This Row],[حقوق پایه]]+ج_ح_مرداد18[[#This Row],[اضافه کاری]]+ج_ح_مرداد18[[#This Row],[حق مسکن]]+ج_ح_مرداد18[[#This Row],[حق اولاد]]+ج_ح_مرداد18[[#This Row],[حق و خواروبار]],"")</f>
        <v/>
      </c>
      <c r="P169"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69" s="46" t="str">
        <f>IFERROR(ج_ح_مرداد18[[#This Row],[حقوق پایه]]+ج_ح_مرداد18[[#This Row],[اضافه کاری]]-(2/7)*ج_ح_مرداد18[[#This Row],[بیمه پرداختنی]],"")</f>
        <v/>
      </c>
      <c r="R169" s="45"/>
      <c r="S169" s="45"/>
      <c r="T169" s="46" t="str">
        <f>IFERROR(ج_ح_مرداد18[[#This Row],[جمع ح و م م بیمه ]]*7%,"")</f>
        <v/>
      </c>
      <c r="U169"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69" s="46" t="str">
        <f>IFERROR(ج_ح_مرداد18[[#This Row],[وام]]+ج_ح_مرداد18[[#This Row],[مساعده]]+ج_ح_مرداد18[[#This Row],[بیمه پرداختنی]]+ج_ح_مرداد18[[#This Row],[مالیات پرداختنی]],"")</f>
        <v/>
      </c>
      <c r="W169" s="46" t="str">
        <f>IFERROR(ج_ح_مرداد18[[#This Row],[جمع ح و م]]-ج_ح_مرداد18[[#This Row],[جمع کسورات]],"")</f>
        <v/>
      </c>
    </row>
    <row r="170" spans="2:23" s="41" customFormat="1" ht="32.1" customHeight="1">
      <c r="B170" s="41">
        <f t="shared" si="3"/>
        <v>5</v>
      </c>
      <c r="C170" s="42" t="str">
        <f>IF(ج_ح_مرداد18[[#This Row],[نام]]&lt;&gt;"",ROW()-155+1,"")</f>
        <v/>
      </c>
      <c r="D170" s="43"/>
      <c r="E170" s="43"/>
      <c r="F170" s="44"/>
      <c r="G170" s="45"/>
      <c r="H170" s="46" t="str">
        <f>IF(ج_ح_مرداد18[[#This Row],[کارکرد]]*ج_ح_مرداد18[[#This Row],[دستمزد روزانه ]]=0,"",ج_ح_مرداد18[[#This Row],[کارکرد]]*ج_ح_مرداد18[[#This Row],[دستمزد روزانه ]])</f>
        <v/>
      </c>
      <c r="I170" s="47"/>
      <c r="J170" s="48">
        <f>(ج_ح_مرداد18[[#This Row],[دستمزد روزانه ]]/7.33)*1.4*ج_ح_مرداد18[[#This Row],[مدت اضافه کاری ]]</f>
        <v>0</v>
      </c>
      <c r="K170" s="46" t="str">
        <f>IF(ج_ح_مرداد18[[#This Row],[کارکرد]]="","",ج_ح_مرداد18[[#This Row],[کارکرد]]*حق_مسکن/30)</f>
        <v/>
      </c>
      <c r="L170" s="49"/>
      <c r="M170" s="46" t="str">
        <f>IF(ج_ح_مرداد18[[#This Row],[تعداد فرزندان]]="","",ج_ح_مرداد18[[#This Row],[کارکرد]]/31*3*ج_ح_مرداد18[[#This Row],[تعداد فرزندان]]*حداقل_حقوق_پایه_روزانه)</f>
        <v/>
      </c>
      <c r="N170" s="46" t="str">
        <f>IF(ج_ح_مرداد18[[#This Row],[کارکرد]]="","",ج_ح_مرداد18[[#This Row],[کارکرد]]*حق_خواربار/30)</f>
        <v/>
      </c>
      <c r="O170" s="46" t="str">
        <f>IFERROR(ج_ح_مرداد18[[#This Row],[حقوق پایه]]+ج_ح_مرداد18[[#This Row],[اضافه کاری]]+ج_ح_مرداد18[[#This Row],[حق مسکن]]+ج_ح_مرداد18[[#This Row],[حق اولاد]]+ج_ح_مرداد18[[#This Row],[حق و خواروبار]],"")</f>
        <v/>
      </c>
      <c r="P170"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70" s="46" t="str">
        <f>IFERROR(ج_ح_مرداد18[[#This Row],[حقوق پایه]]+ج_ح_مرداد18[[#This Row],[اضافه کاری]]-(2/7)*ج_ح_مرداد18[[#This Row],[بیمه پرداختنی]],"")</f>
        <v/>
      </c>
      <c r="R170" s="45"/>
      <c r="S170" s="45"/>
      <c r="T170" s="46" t="str">
        <f>IFERROR(ج_ح_مرداد18[[#This Row],[جمع ح و م م بیمه ]]*7%,"")</f>
        <v/>
      </c>
      <c r="U170"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70" s="46" t="str">
        <f>IFERROR(ج_ح_مرداد18[[#This Row],[وام]]+ج_ح_مرداد18[[#This Row],[مساعده]]+ج_ح_مرداد18[[#This Row],[بیمه پرداختنی]]+ج_ح_مرداد18[[#This Row],[مالیات پرداختنی]],"")</f>
        <v/>
      </c>
      <c r="W170" s="46" t="str">
        <f>IFERROR(ج_ح_مرداد18[[#This Row],[جمع ح و م]]-ج_ح_مرداد18[[#This Row],[جمع کسورات]],"")</f>
        <v/>
      </c>
    </row>
    <row r="171" spans="2:23" s="41" customFormat="1" ht="32.1" customHeight="1">
      <c r="B171" s="41">
        <f t="shared" si="3"/>
        <v>5</v>
      </c>
      <c r="C171" s="42" t="str">
        <f>IF(ج_ح_مرداد18[[#This Row],[نام]]&lt;&gt;"",ROW()-155+1,"")</f>
        <v/>
      </c>
      <c r="D171" s="43"/>
      <c r="E171" s="43"/>
      <c r="F171" s="44"/>
      <c r="G171" s="45"/>
      <c r="H171" s="46" t="str">
        <f>IF(ج_ح_مرداد18[[#This Row],[کارکرد]]*ج_ح_مرداد18[[#This Row],[دستمزد روزانه ]]=0,"",ج_ح_مرداد18[[#This Row],[کارکرد]]*ج_ح_مرداد18[[#This Row],[دستمزد روزانه ]])</f>
        <v/>
      </c>
      <c r="I171" s="47"/>
      <c r="J171" s="48">
        <f>(ج_ح_مرداد18[[#This Row],[دستمزد روزانه ]]/7.33)*1.4*ج_ح_مرداد18[[#This Row],[مدت اضافه کاری ]]</f>
        <v>0</v>
      </c>
      <c r="K171" s="46" t="str">
        <f>IF(ج_ح_مرداد18[[#This Row],[کارکرد]]="","",ج_ح_مرداد18[[#This Row],[کارکرد]]*حق_مسکن/30)</f>
        <v/>
      </c>
      <c r="L171" s="49"/>
      <c r="M171" s="46" t="str">
        <f>IF(ج_ح_مرداد18[[#This Row],[تعداد فرزندان]]="","",ج_ح_مرداد18[[#This Row],[کارکرد]]/31*3*ج_ح_مرداد18[[#This Row],[تعداد فرزندان]]*حداقل_حقوق_پایه_روزانه)</f>
        <v/>
      </c>
      <c r="N171" s="46" t="str">
        <f>IF(ج_ح_مرداد18[[#This Row],[کارکرد]]="","",ج_ح_مرداد18[[#This Row],[کارکرد]]*حق_خواربار/30)</f>
        <v/>
      </c>
      <c r="O171" s="46" t="str">
        <f>IFERROR(ج_ح_مرداد18[[#This Row],[حقوق پایه]]+ج_ح_مرداد18[[#This Row],[اضافه کاری]]+ج_ح_مرداد18[[#This Row],[حق مسکن]]+ج_ح_مرداد18[[#This Row],[حق اولاد]]+ج_ح_مرداد18[[#This Row],[حق و خواروبار]],"")</f>
        <v/>
      </c>
      <c r="P171"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71" s="46" t="str">
        <f>IFERROR(ج_ح_مرداد18[[#This Row],[حقوق پایه]]+ج_ح_مرداد18[[#This Row],[اضافه کاری]]-(2/7)*ج_ح_مرداد18[[#This Row],[بیمه پرداختنی]],"")</f>
        <v/>
      </c>
      <c r="R171" s="45"/>
      <c r="S171" s="45"/>
      <c r="T171" s="46" t="str">
        <f>IFERROR(ج_ح_مرداد18[[#This Row],[جمع ح و م م بیمه ]]*7%,"")</f>
        <v/>
      </c>
      <c r="U171"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71" s="46" t="str">
        <f>IFERROR(ج_ح_مرداد18[[#This Row],[وام]]+ج_ح_مرداد18[[#This Row],[مساعده]]+ج_ح_مرداد18[[#This Row],[بیمه پرداختنی]]+ج_ح_مرداد18[[#This Row],[مالیات پرداختنی]],"")</f>
        <v/>
      </c>
      <c r="W171" s="46" t="str">
        <f>IFERROR(ج_ح_مرداد18[[#This Row],[جمع ح و م]]-ج_ح_مرداد18[[#This Row],[جمع کسورات]],"")</f>
        <v/>
      </c>
    </row>
    <row r="172" spans="2:23" s="41" customFormat="1" ht="32.1" customHeight="1">
      <c r="B172" s="41">
        <f t="shared" si="3"/>
        <v>5</v>
      </c>
      <c r="C172" s="42" t="str">
        <f>IF(ج_ح_مرداد18[[#This Row],[نام]]&lt;&gt;"",ROW()-155+1,"")</f>
        <v/>
      </c>
      <c r="D172" s="43"/>
      <c r="E172" s="43"/>
      <c r="F172" s="44"/>
      <c r="G172" s="45"/>
      <c r="H172" s="46" t="str">
        <f>IF(ج_ح_مرداد18[[#This Row],[کارکرد]]*ج_ح_مرداد18[[#This Row],[دستمزد روزانه ]]=0,"",ج_ح_مرداد18[[#This Row],[کارکرد]]*ج_ح_مرداد18[[#This Row],[دستمزد روزانه ]])</f>
        <v/>
      </c>
      <c r="I172" s="47"/>
      <c r="J172" s="48">
        <f>(ج_ح_مرداد18[[#This Row],[دستمزد روزانه ]]/7.33)*1.4*ج_ح_مرداد18[[#This Row],[مدت اضافه کاری ]]</f>
        <v>0</v>
      </c>
      <c r="K172" s="46" t="str">
        <f>IF(ج_ح_مرداد18[[#This Row],[کارکرد]]="","",ج_ح_مرداد18[[#This Row],[کارکرد]]*حق_مسکن/30)</f>
        <v/>
      </c>
      <c r="L172" s="49"/>
      <c r="M172" s="46" t="str">
        <f>IF(ج_ح_مرداد18[[#This Row],[تعداد فرزندان]]="","",ج_ح_مرداد18[[#This Row],[کارکرد]]/31*3*ج_ح_مرداد18[[#This Row],[تعداد فرزندان]]*حداقل_حقوق_پایه_روزانه)</f>
        <v/>
      </c>
      <c r="N172" s="46" t="str">
        <f>IF(ج_ح_مرداد18[[#This Row],[کارکرد]]="","",ج_ح_مرداد18[[#This Row],[کارکرد]]*حق_خواربار/30)</f>
        <v/>
      </c>
      <c r="O172" s="46" t="str">
        <f>IFERROR(ج_ح_مرداد18[[#This Row],[حقوق پایه]]+ج_ح_مرداد18[[#This Row],[اضافه کاری]]+ج_ح_مرداد18[[#This Row],[حق مسکن]]+ج_ح_مرداد18[[#This Row],[حق اولاد]]+ج_ح_مرداد18[[#This Row],[حق و خواروبار]],"")</f>
        <v/>
      </c>
      <c r="P172"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72" s="46" t="str">
        <f>IFERROR(ج_ح_مرداد18[[#This Row],[حقوق پایه]]+ج_ح_مرداد18[[#This Row],[اضافه کاری]]-(2/7)*ج_ح_مرداد18[[#This Row],[بیمه پرداختنی]],"")</f>
        <v/>
      </c>
      <c r="R172" s="45"/>
      <c r="S172" s="45"/>
      <c r="T172" s="46" t="str">
        <f>IFERROR(ج_ح_مرداد18[[#This Row],[جمع ح و م م بیمه ]]*7%,"")</f>
        <v/>
      </c>
      <c r="U172"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72" s="46" t="str">
        <f>IFERROR(ج_ح_مرداد18[[#This Row],[وام]]+ج_ح_مرداد18[[#This Row],[مساعده]]+ج_ح_مرداد18[[#This Row],[بیمه پرداختنی]]+ج_ح_مرداد18[[#This Row],[مالیات پرداختنی]],"")</f>
        <v/>
      </c>
      <c r="W172" s="46" t="str">
        <f>IFERROR(ج_ح_مرداد18[[#This Row],[جمع ح و م]]-ج_ح_مرداد18[[#This Row],[جمع کسورات]],"")</f>
        <v/>
      </c>
    </row>
    <row r="173" spans="2:23" s="41" customFormat="1" ht="32.1" customHeight="1">
      <c r="B173" s="41">
        <f t="shared" si="3"/>
        <v>5</v>
      </c>
      <c r="C173" s="42" t="str">
        <f>IF(ج_ح_مرداد18[[#This Row],[نام]]&lt;&gt;"",ROW()-155+1,"")</f>
        <v/>
      </c>
      <c r="D173" s="43"/>
      <c r="E173" s="43"/>
      <c r="F173" s="44"/>
      <c r="G173" s="45"/>
      <c r="H173" s="46" t="str">
        <f>IF(ج_ح_مرداد18[[#This Row],[کارکرد]]*ج_ح_مرداد18[[#This Row],[دستمزد روزانه ]]=0,"",ج_ح_مرداد18[[#This Row],[کارکرد]]*ج_ح_مرداد18[[#This Row],[دستمزد روزانه ]])</f>
        <v/>
      </c>
      <c r="I173" s="47"/>
      <c r="J173" s="48">
        <f>(ج_ح_مرداد18[[#This Row],[دستمزد روزانه ]]/7.33)*1.4*ج_ح_مرداد18[[#This Row],[مدت اضافه کاری ]]</f>
        <v>0</v>
      </c>
      <c r="K173" s="46" t="str">
        <f>IF(ج_ح_مرداد18[[#This Row],[کارکرد]]="","",ج_ح_مرداد18[[#This Row],[کارکرد]]*حق_مسکن/30)</f>
        <v/>
      </c>
      <c r="L173" s="49"/>
      <c r="M173" s="46" t="str">
        <f>IF(ج_ح_مرداد18[[#This Row],[تعداد فرزندان]]="","",ج_ح_مرداد18[[#This Row],[کارکرد]]/31*3*ج_ح_مرداد18[[#This Row],[تعداد فرزندان]]*حداقل_حقوق_پایه_روزانه)</f>
        <v/>
      </c>
      <c r="N173" s="46" t="str">
        <f>IF(ج_ح_مرداد18[[#This Row],[کارکرد]]="","",ج_ح_مرداد18[[#This Row],[کارکرد]]*حق_خواربار/30)</f>
        <v/>
      </c>
      <c r="O173" s="46" t="str">
        <f>IFERROR(ج_ح_مرداد18[[#This Row],[حقوق پایه]]+ج_ح_مرداد18[[#This Row],[اضافه کاری]]+ج_ح_مرداد18[[#This Row],[حق مسکن]]+ج_ح_مرداد18[[#This Row],[حق اولاد]]+ج_ح_مرداد18[[#This Row],[حق و خواروبار]],"")</f>
        <v/>
      </c>
      <c r="P173"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73" s="46" t="str">
        <f>IFERROR(ج_ح_مرداد18[[#This Row],[حقوق پایه]]+ج_ح_مرداد18[[#This Row],[اضافه کاری]]-(2/7)*ج_ح_مرداد18[[#This Row],[بیمه پرداختنی]],"")</f>
        <v/>
      </c>
      <c r="R173" s="45"/>
      <c r="S173" s="45"/>
      <c r="T173" s="46" t="str">
        <f>IFERROR(ج_ح_مرداد18[[#This Row],[جمع ح و م م بیمه ]]*7%,"")</f>
        <v/>
      </c>
      <c r="U173"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73" s="46" t="str">
        <f>IFERROR(ج_ح_مرداد18[[#This Row],[وام]]+ج_ح_مرداد18[[#This Row],[مساعده]]+ج_ح_مرداد18[[#This Row],[بیمه پرداختنی]]+ج_ح_مرداد18[[#This Row],[مالیات پرداختنی]],"")</f>
        <v/>
      </c>
      <c r="W173" s="46" t="str">
        <f>IFERROR(ج_ح_مرداد18[[#This Row],[جمع ح و م]]-ج_ح_مرداد18[[#This Row],[جمع کسورات]],"")</f>
        <v/>
      </c>
    </row>
    <row r="174" spans="2:23" s="41" customFormat="1" ht="32.1" customHeight="1">
      <c r="B174" s="41">
        <f t="shared" si="3"/>
        <v>5</v>
      </c>
      <c r="C174" s="42" t="str">
        <f>IF(ج_ح_مرداد18[[#This Row],[نام]]&lt;&gt;"",ROW()-155+1,"")</f>
        <v/>
      </c>
      <c r="D174" s="43"/>
      <c r="E174" s="43"/>
      <c r="F174" s="44"/>
      <c r="G174" s="45"/>
      <c r="H174" s="46" t="str">
        <f>IF(ج_ح_مرداد18[[#This Row],[کارکرد]]*ج_ح_مرداد18[[#This Row],[دستمزد روزانه ]]=0,"",ج_ح_مرداد18[[#This Row],[کارکرد]]*ج_ح_مرداد18[[#This Row],[دستمزد روزانه ]])</f>
        <v/>
      </c>
      <c r="I174" s="47"/>
      <c r="J174" s="48">
        <f>(ج_ح_مرداد18[[#This Row],[دستمزد روزانه ]]/7.33)*1.4*ج_ح_مرداد18[[#This Row],[مدت اضافه کاری ]]</f>
        <v>0</v>
      </c>
      <c r="K174" s="46" t="str">
        <f>IF(ج_ح_مرداد18[[#This Row],[کارکرد]]="","",ج_ح_مرداد18[[#This Row],[کارکرد]]*حق_مسکن/30)</f>
        <v/>
      </c>
      <c r="L174" s="49"/>
      <c r="M174" s="46" t="str">
        <f>IF(ج_ح_مرداد18[[#This Row],[تعداد فرزندان]]="","",ج_ح_مرداد18[[#This Row],[کارکرد]]/31*3*ج_ح_مرداد18[[#This Row],[تعداد فرزندان]]*حداقل_حقوق_پایه_روزانه)</f>
        <v/>
      </c>
      <c r="N174" s="46" t="str">
        <f>IF(ج_ح_مرداد18[[#This Row],[کارکرد]]="","",ج_ح_مرداد18[[#This Row],[کارکرد]]*حق_خواربار/30)</f>
        <v/>
      </c>
      <c r="O174" s="46" t="str">
        <f>IFERROR(ج_ح_مرداد18[[#This Row],[حقوق پایه]]+ج_ح_مرداد18[[#This Row],[اضافه کاری]]+ج_ح_مرداد18[[#This Row],[حق مسکن]]+ج_ح_مرداد18[[#This Row],[حق اولاد]]+ج_ح_مرداد18[[#This Row],[حق و خواروبار]],"")</f>
        <v/>
      </c>
      <c r="P174"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74" s="46" t="str">
        <f>IFERROR(ج_ح_مرداد18[[#This Row],[حقوق پایه]]+ج_ح_مرداد18[[#This Row],[اضافه کاری]]-(2/7)*ج_ح_مرداد18[[#This Row],[بیمه پرداختنی]],"")</f>
        <v/>
      </c>
      <c r="R174" s="45"/>
      <c r="S174" s="45"/>
      <c r="T174" s="46" t="str">
        <f>IFERROR(ج_ح_مرداد18[[#This Row],[جمع ح و م م بیمه ]]*7%,"")</f>
        <v/>
      </c>
      <c r="U174"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74" s="46" t="str">
        <f>IFERROR(ج_ح_مرداد18[[#This Row],[وام]]+ج_ح_مرداد18[[#This Row],[مساعده]]+ج_ح_مرداد18[[#This Row],[بیمه پرداختنی]]+ج_ح_مرداد18[[#This Row],[مالیات پرداختنی]],"")</f>
        <v/>
      </c>
      <c r="W174" s="46" t="str">
        <f>IFERROR(ج_ح_مرداد18[[#This Row],[جمع ح و م]]-ج_ح_مرداد18[[#This Row],[جمع کسورات]],"")</f>
        <v/>
      </c>
    </row>
    <row r="175" spans="2:23" s="41" customFormat="1" ht="32.1" customHeight="1">
      <c r="B175" s="41">
        <f t="shared" si="3"/>
        <v>5</v>
      </c>
      <c r="C175" s="42" t="str">
        <f>IF(ج_ح_مرداد18[[#This Row],[نام]]&lt;&gt;"",ROW()-155+1,"")</f>
        <v/>
      </c>
      <c r="D175" s="43"/>
      <c r="E175" s="43"/>
      <c r="F175" s="44"/>
      <c r="G175" s="45"/>
      <c r="H175" s="46" t="str">
        <f>IF(ج_ح_مرداد18[[#This Row],[کارکرد]]*ج_ح_مرداد18[[#This Row],[دستمزد روزانه ]]=0,"",ج_ح_مرداد18[[#This Row],[کارکرد]]*ج_ح_مرداد18[[#This Row],[دستمزد روزانه ]])</f>
        <v/>
      </c>
      <c r="I175" s="47"/>
      <c r="J175" s="48">
        <f>(ج_ح_مرداد18[[#This Row],[دستمزد روزانه ]]/7.33)*1.4*ج_ح_مرداد18[[#This Row],[مدت اضافه کاری ]]</f>
        <v>0</v>
      </c>
      <c r="K175" s="46" t="str">
        <f>IF(ج_ح_مرداد18[[#This Row],[کارکرد]]="","",ج_ح_مرداد18[[#This Row],[کارکرد]]*حق_مسکن/30)</f>
        <v/>
      </c>
      <c r="L175" s="49"/>
      <c r="M175" s="46" t="str">
        <f>IF(ج_ح_مرداد18[[#This Row],[تعداد فرزندان]]="","",ج_ح_مرداد18[[#This Row],[کارکرد]]/31*3*ج_ح_مرداد18[[#This Row],[تعداد فرزندان]]*حداقل_حقوق_پایه_روزانه)</f>
        <v/>
      </c>
      <c r="N175" s="46" t="str">
        <f>IF(ج_ح_مرداد18[[#This Row],[کارکرد]]="","",ج_ح_مرداد18[[#This Row],[کارکرد]]*حق_خواربار/30)</f>
        <v/>
      </c>
      <c r="O175" s="46" t="str">
        <f>IFERROR(ج_ح_مرداد18[[#This Row],[حقوق پایه]]+ج_ح_مرداد18[[#This Row],[اضافه کاری]]+ج_ح_مرداد18[[#This Row],[حق مسکن]]+ج_ح_مرداد18[[#This Row],[حق اولاد]]+ج_ح_مرداد18[[#This Row],[حق و خواروبار]],"")</f>
        <v/>
      </c>
      <c r="P175"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75" s="46" t="str">
        <f>IFERROR(ج_ح_مرداد18[[#This Row],[حقوق پایه]]+ج_ح_مرداد18[[#This Row],[اضافه کاری]]-(2/7)*ج_ح_مرداد18[[#This Row],[بیمه پرداختنی]],"")</f>
        <v/>
      </c>
      <c r="R175" s="45"/>
      <c r="S175" s="45"/>
      <c r="T175" s="46" t="str">
        <f>IFERROR(ج_ح_مرداد18[[#This Row],[جمع ح و م م بیمه ]]*7%,"")</f>
        <v/>
      </c>
      <c r="U175"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75" s="46" t="str">
        <f>IFERROR(ج_ح_مرداد18[[#This Row],[وام]]+ج_ح_مرداد18[[#This Row],[مساعده]]+ج_ح_مرداد18[[#This Row],[بیمه پرداختنی]]+ج_ح_مرداد18[[#This Row],[مالیات پرداختنی]],"")</f>
        <v/>
      </c>
      <c r="W175" s="46" t="str">
        <f>IFERROR(ج_ح_مرداد18[[#This Row],[جمع ح و م]]-ج_ح_مرداد18[[#This Row],[جمع کسورات]],"")</f>
        <v/>
      </c>
    </row>
    <row r="176" spans="2:23" s="41" customFormat="1" ht="32.1" customHeight="1">
      <c r="B176" s="41">
        <f t="shared" si="3"/>
        <v>5</v>
      </c>
      <c r="C176" s="42" t="str">
        <f>IF(ج_ح_مرداد18[[#This Row],[نام]]&lt;&gt;"",ROW()-155+1,"")</f>
        <v/>
      </c>
      <c r="D176" s="43"/>
      <c r="E176" s="43"/>
      <c r="F176" s="44"/>
      <c r="G176" s="45"/>
      <c r="H176" s="46" t="str">
        <f>IF(ج_ح_مرداد18[[#This Row],[کارکرد]]*ج_ح_مرداد18[[#This Row],[دستمزد روزانه ]]=0,"",ج_ح_مرداد18[[#This Row],[کارکرد]]*ج_ح_مرداد18[[#This Row],[دستمزد روزانه ]])</f>
        <v/>
      </c>
      <c r="I176" s="47"/>
      <c r="J176" s="48">
        <f>(ج_ح_مرداد18[[#This Row],[دستمزد روزانه ]]/7.33)*1.4*ج_ح_مرداد18[[#This Row],[مدت اضافه کاری ]]</f>
        <v>0</v>
      </c>
      <c r="K176" s="46" t="str">
        <f>IF(ج_ح_مرداد18[[#This Row],[کارکرد]]="","",ج_ح_مرداد18[[#This Row],[کارکرد]]*حق_مسکن/30)</f>
        <v/>
      </c>
      <c r="L176" s="49"/>
      <c r="M176" s="46" t="str">
        <f>IF(ج_ح_مرداد18[[#This Row],[تعداد فرزندان]]="","",ج_ح_مرداد18[[#This Row],[کارکرد]]/31*3*ج_ح_مرداد18[[#This Row],[تعداد فرزندان]]*حداقل_حقوق_پایه_روزانه)</f>
        <v/>
      </c>
      <c r="N176" s="46" t="str">
        <f>IF(ج_ح_مرداد18[[#This Row],[کارکرد]]="","",ج_ح_مرداد18[[#This Row],[کارکرد]]*حق_خواربار/30)</f>
        <v/>
      </c>
      <c r="O176" s="46" t="str">
        <f>IFERROR(ج_ح_مرداد18[[#This Row],[حقوق پایه]]+ج_ح_مرداد18[[#This Row],[اضافه کاری]]+ج_ح_مرداد18[[#This Row],[حق مسکن]]+ج_ح_مرداد18[[#This Row],[حق اولاد]]+ج_ح_مرداد18[[#This Row],[حق و خواروبار]],"")</f>
        <v/>
      </c>
      <c r="P176"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76" s="46" t="str">
        <f>IFERROR(ج_ح_مرداد18[[#This Row],[حقوق پایه]]+ج_ح_مرداد18[[#This Row],[اضافه کاری]]-(2/7)*ج_ح_مرداد18[[#This Row],[بیمه پرداختنی]],"")</f>
        <v/>
      </c>
      <c r="R176" s="45"/>
      <c r="S176" s="45"/>
      <c r="T176" s="46" t="str">
        <f>IFERROR(ج_ح_مرداد18[[#This Row],[جمع ح و م م بیمه ]]*7%,"")</f>
        <v/>
      </c>
      <c r="U176"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76" s="46" t="str">
        <f>IFERROR(ج_ح_مرداد18[[#This Row],[وام]]+ج_ح_مرداد18[[#This Row],[مساعده]]+ج_ح_مرداد18[[#This Row],[بیمه پرداختنی]]+ج_ح_مرداد18[[#This Row],[مالیات پرداختنی]],"")</f>
        <v/>
      </c>
      <c r="W176" s="46" t="str">
        <f>IFERROR(ج_ح_مرداد18[[#This Row],[جمع ح و م]]-ج_ح_مرداد18[[#This Row],[جمع کسورات]],"")</f>
        <v/>
      </c>
    </row>
    <row r="177" spans="1:23" s="41" customFormat="1" ht="32.1" customHeight="1">
      <c r="B177" s="41">
        <f t="shared" si="3"/>
        <v>5</v>
      </c>
      <c r="C177" s="42" t="str">
        <f>IF(ج_ح_مرداد18[[#This Row],[نام]]&lt;&gt;"",ROW()-155+1,"")</f>
        <v/>
      </c>
      <c r="D177" s="43"/>
      <c r="E177" s="43"/>
      <c r="F177" s="44"/>
      <c r="G177" s="45"/>
      <c r="H177" s="46" t="str">
        <f>IF(ج_ح_مرداد18[[#This Row],[کارکرد]]*ج_ح_مرداد18[[#This Row],[دستمزد روزانه ]]=0,"",ج_ح_مرداد18[[#This Row],[کارکرد]]*ج_ح_مرداد18[[#This Row],[دستمزد روزانه ]])</f>
        <v/>
      </c>
      <c r="I177" s="47"/>
      <c r="J177" s="48">
        <f>(ج_ح_مرداد18[[#This Row],[دستمزد روزانه ]]/7.33)*1.4*ج_ح_مرداد18[[#This Row],[مدت اضافه کاری ]]</f>
        <v>0</v>
      </c>
      <c r="K177" s="46" t="str">
        <f>IF(ج_ح_مرداد18[[#This Row],[کارکرد]]="","",ج_ح_مرداد18[[#This Row],[کارکرد]]*حق_مسکن/30)</f>
        <v/>
      </c>
      <c r="L177" s="49"/>
      <c r="M177" s="46" t="str">
        <f>IF(ج_ح_مرداد18[[#This Row],[تعداد فرزندان]]="","",ج_ح_مرداد18[[#This Row],[کارکرد]]/31*3*ج_ح_مرداد18[[#This Row],[تعداد فرزندان]]*حداقل_حقوق_پایه_روزانه)</f>
        <v/>
      </c>
      <c r="N177" s="46" t="str">
        <f>IF(ج_ح_مرداد18[[#This Row],[کارکرد]]="","",ج_ح_مرداد18[[#This Row],[کارکرد]]*حق_خواربار/30)</f>
        <v/>
      </c>
      <c r="O177" s="46" t="str">
        <f>IFERROR(ج_ح_مرداد18[[#This Row],[حقوق پایه]]+ج_ح_مرداد18[[#This Row],[اضافه کاری]]+ج_ح_مرداد18[[#This Row],[حق مسکن]]+ج_ح_مرداد18[[#This Row],[حق اولاد]]+ج_ح_مرداد18[[#This Row],[حق و خواروبار]],"")</f>
        <v/>
      </c>
      <c r="P177"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77" s="46" t="str">
        <f>IFERROR(ج_ح_مرداد18[[#This Row],[حقوق پایه]]+ج_ح_مرداد18[[#This Row],[اضافه کاری]]-(2/7)*ج_ح_مرداد18[[#This Row],[بیمه پرداختنی]],"")</f>
        <v/>
      </c>
      <c r="R177" s="45"/>
      <c r="S177" s="45"/>
      <c r="T177" s="46" t="str">
        <f>IFERROR(ج_ح_مرداد18[[#This Row],[جمع ح و م م بیمه ]]*7%,"")</f>
        <v/>
      </c>
      <c r="U177"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77" s="46" t="str">
        <f>IFERROR(ج_ح_مرداد18[[#This Row],[وام]]+ج_ح_مرداد18[[#This Row],[مساعده]]+ج_ح_مرداد18[[#This Row],[بیمه پرداختنی]]+ج_ح_مرداد18[[#This Row],[مالیات پرداختنی]],"")</f>
        <v/>
      </c>
      <c r="W177" s="46" t="str">
        <f>IFERROR(ج_ح_مرداد18[[#This Row],[جمع ح و م]]-ج_ح_مرداد18[[#This Row],[جمع کسورات]],"")</f>
        <v/>
      </c>
    </row>
    <row r="178" spans="1:23" s="41" customFormat="1" ht="32.1" customHeight="1">
      <c r="B178" s="41">
        <f t="shared" si="3"/>
        <v>5</v>
      </c>
      <c r="C178" s="42" t="str">
        <f>IF(ج_ح_مرداد18[[#This Row],[نام]]&lt;&gt;"",ROW()-155+1,"")</f>
        <v/>
      </c>
      <c r="D178" s="43"/>
      <c r="E178" s="43"/>
      <c r="F178" s="44"/>
      <c r="G178" s="45"/>
      <c r="H178" s="46" t="str">
        <f>IF(ج_ح_مرداد18[[#This Row],[کارکرد]]*ج_ح_مرداد18[[#This Row],[دستمزد روزانه ]]=0,"",ج_ح_مرداد18[[#This Row],[کارکرد]]*ج_ح_مرداد18[[#This Row],[دستمزد روزانه ]])</f>
        <v/>
      </c>
      <c r="I178" s="47"/>
      <c r="J178" s="48">
        <f>(ج_ح_مرداد18[[#This Row],[دستمزد روزانه ]]/7.33)*1.4*ج_ح_مرداد18[[#This Row],[مدت اضافه کاری ]]</f>
        <v>0</v>
      </c>
      <c r="K178" s="46" t="str">
        <f>IF(ج_ح_مرداد18[[#This Row],[کارکرد]]="","",ج_ح_مرداد18[[#This Row],[کارکرد]]*حق_مسکن/30)</f>
        <v/>
      </c>
      <c r="L178" s="49"/>
      <c r="M178" s="46" t="str">
        <f>IF(ج_ح_مرداد18[[#This Row],[تعداد فرزندان]]="","",ج_ح_مرداد18[[#This Row],[کارکرد]]/31*3*ج_ح_مرداد18[[#This Row],[تعداد فرزندان]]*حداقل_حقوق_پایه_روزانه)</f>
        <v/>
      </c>
      <c r="N178" s="46" t="str">
        <f>IF(ج_ح_مرداد18[[#This Row],[کارکرد]]="","",ج_ح_مرداد18[[#This Row],[کارکرد]]*حق_خواربار/30)</f>
        <v/>
      </c>
      <c r="O178" s="46" t="str">
        <f>IFERROR(ج_ح_مرداد18[[#This Row],[حقوق پایه]]+ج_ح_مرداد18[[#This Row],[اضافه کاری]]+ج_ح_مرداد18[[#This Row],[حق مسکن]]+ج_ح_مرداد18[[#This Row],[حق اولاد]]+ج_ح_مرداد18[[#This Row],[حق و خواروبار]],"")</f>
        <v/>
      </c>
      <c r="P178"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78" s="46" t="str">
        <f>IFERROR(ج_ح_مرداد18[[#This Row],[حقوق پایه]]+ج_ح_مرداد18[[#This Row],[اضافه کاری]]-(2/7)*ج_ح_مرداد18[[#This Row],[بیمه پرداختنی]],"")</f>
        <v/>
      </c>
      <c r="R178" s="45"/>
      <c r="S178" s="45"/>
      <c r="T178" s="46" t="str">
        <f>IFERROR(ج_ح_مرداد18[[#This Row],[جمع ح و م م بیمه ]]*7%,"")</f>
        <v/>
      </c>
      <c r="U178"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78" s="46" t="str">
        <f>IFERROR(ج_ح_مرداد18[[#This Row],[وام]]+ج_ح_مرداد18[[#This Row],[مساعده]]+ج_ح_مرداد18[[#This Row],[بیمه پرداختنی]]+ج_ح_مرداد18[[#This Row],[مالیات پرداختنی]],"")</f>
        <v/>
      </c>
      <c r="W178" s="46" t="str">
        <f>IFERROR(ج_ح_مرداد18[[#This Row],[جمع ح و م]]-ج_ح_مرداد18[[#This Row],[جمع کسورات]],"")</f>
        <v/>
      </c>
    </row>
    <row r="179" spans="1:23" s="41" customFormat="1" ht="32.1" customHeight="1">
      <c r="B179" s="41">
        <f t="shared" si="3"/>
        <v>5</v>
      </c>
      <c r="C179" s="42" t="str">
        <f>IF(ج_ح_مرداد18[[#This Row],[نام]]&lt;&gt;"",ROW()-155+1,"")</f>
        <v/>
      </c>
      <c r="D179" s="43"/>
      <c r="E179" s="43"/>
      <c r="F179" s="44"/>
      <c r="G179" s="45"/>
      <c r="H179" s="46" t="str">
        <f>IF(ج_ح_مرداد18[[#This Row],[کارکرد]]*ج_ح_مرداد18[[#This Row],[دستمزد روزانه ]]=0,"",ج_ح_مرداد18[[#This Row],[کارکرد]]*ج_ح_مرداد18[[#This Row],[دستمزد روزانه ]])</f>
        <v/>
      </c>
      <c r="I179" s="47"/>
      <c r="J179" s="48">
        <f>(ج_ح_مرداد18[[#This Row],[دستمزد روزانه ]]/7.33)*1.4*ج_ح_مرداد18[[#This Row],[مدت اضافه کاری ]]</f>
        <v>0</v>
      </c>
      <c r="K179" s="46" t="str">
        <f>IF(ج_ح_مرداد18[[#This Row],[کارکرد]]="","",ج_ح_مرداد18[[#This Row],[کارکرد]]*حق_مسکن/30)</f>
        <v/>
      </c>
      <c r="L179" s="49"/>
      <c r="M179" s="46" t="str">
        <f>IF(ج_ح_مرداد18[[#This Row],[تعداد فرزندان]]="","",ج_ح_مرداد18[[#This Row],[کارکرد]]/31*3*ج_ح_مرداد18[[#This Row],[تعداد فرزندان]]*حداقل_حقوق_پایه_روزانه)</f>
        <v/>
      </c>
      <c r="N179" s="46" t="str">
        <f>IF(ج_ح_مرداد18[[#This Row],[کارکرد]]="","",ج_ح_مرداد18[[#This Row],[کارکرد]]*حق_خواربار/30)</f>
        <v/>
      </c>
      <c r="O179" s="46" t="str">
        <f>IFERROR(ج_ح_مرداد18[[#This Row],[حقوق پایه]]+ج_ح_مرداد18[[#This Row],[اضافه کاری]]+ج_ح_مرداد18[[#This Row],[حق مسکن]]+ج_ح_مرداد18[[#This Row],[حق اولاد]]+ج_ح_مرداد18[[#This Row],[حق و خواروبار]],"")</f>
        <v/>
      </c>
      <c r="P179"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79" s="46" t="str">
        <f>IFERROR(ج_ح_مرداد18[[#This Row],[حقوق پایه]]+ج_ح_مرداد18[[#This Row],[اضافه کاری]]-(2/7)*ج_ح_مرداد18[[#This Row],[بیمه پرداختنی]],"")</f>
        <v/>
      </c>
      <c r="R179" s="45"/>
      <c r="S179" s="45"/>
      <c r="T179" s="46" t="str">
        <f>IFERROR(ج_ح_مرداد18[[#This Row],[جمع ح و م م بیمه ]]*7%,"")</f>
        <v/>
      </c>
      <c r="U179"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79" s="46" t="str">
        <f>IFERROR(ج_ح_مرداد18[[#This Row],[وام]]+ج_ح_مرداد18[[#This Row],[مساعده]]+ج_ح_مرداد18[[#This Row],[بیمه پرداختنی]]+ج_ح_مرداد18[[#This Row],[مالیات پرداختنی]],"")</f>
        <v/>
      </c>
      <c r="W179" s="46" t="str">
        <f>IFERROR(ج_ح_مرداد18[[#This Row],[جمع ح و م]]-ج_ح_مرداد18[[#This Row],[جمع کسورات]],"")</f>
        <v/>
      </c>
    </row>
    <row r="180" spans="1:23" s="41" customFormat="1" ht="32.1" customHeight="1">
      <c r="B180" s="41">
        <f t="shared" si="3"/>
        <v>5</v>
      </c>
      <c r="C180" s="42" t="str">
        <f>IF(ج_ح_مرداد18[[#This Row],[نام]]&lt;&gt;"",ROW()-155+1,"")</f>
        <v/>
      </c>
      <c r="D180" s="43"/>
      <c r="E180" s="43"/>
      <c r="F180" s="44"/>
      <c r="G180" s="45"/>
      <c r="H180" s="46" t="str">
        <f>IF(ج_ح_مرداد18[[#This Row],[کارکرد]]*ج_ح_مرداد18[[#This Row],[دستمزد روزانه ]]=0,"",ج_ح_مرداد18[[#This Row],[کارکرد]]*ج_ح_مرداد18[[#This Row],[دستمزد روزانه ]])</f>
        <v/>
      </c>
      <c r="I180" s="47"/>
      <c r="J180" s="48">
        <f>(ج_ح_مرداد18[[#This Row],[دستمزد روزانه ]]/7.33)*1.4*ج_ح_مرداد18[[#This Row],[مدت اضافه کاری ]]</f>
        <v>0</v>
      </c>
      <c r="K180" s="46" t="str">
        <f>IF(ج_ح_مرداد18[[#This Row],[کارکرد]]="","",ج_ح_مرداد18[[#This Row],[کارکرد]]*حق_مسکن/30)</f>
        <v/>
      </c>
      <c r="L180" s="49"/>
      <c r="M180" s="46" t="str">
        <f>IF(ج_ح_مرداد18[[#This Row],[تعداد فرزندان]]="","",ج_ح_مرداد18[[#This Row],[کارکرد]]/31*3*ج_ح_مرداد18[[#This Row],[تعداد فرزندان]]*حداقل_حقوق_پایه_روزانه)</f>
        <v/>
      </c>
      <c r="N180" s="46" t="str">
        <f>IF(ج_ح_مرداد18[[#This Row],[کارکرد]]="","",ج_ح_مرداد18[[#This Row],[کارکرد]]*حق_خواربار/30)</f>
        <v/>
      </c>
      <c r="O180" s="46" t="str">
        <f>IFERROR(ج_ح_مرداد18[[#This Row],[حقوق پایه]]+ج_ح_مرداد18[[#This Row],[اضافه کاری]]+ج_ح_مرداد18[[#This Row],[حق مسکن]]+ج_ح_مرداد18[[#This Row],[حق اولاد]]+ج_ح_مرداد18[[#This Row],[حق و خواروبار]],"")</f>
        <v/>
      </c>
      <c r="P180"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80" s="46" t="str">
        <f>IFERROR(ج_ح_مرداد18[[#This Row],[حقوق پایه]]+ج_ح_مرداد18[[#This Row],[اضافه کاری]]-(2/7)*ج_ح_مرداد18[[#This Row],[بیمه پرداختنی]],"")</f>
        <v/>
      </c>
      <c r="R180" s="45"/>
      <c r="S180" s="45"/>
      <c r="T180" s="46" t="str">
        <f>IFERROR(ج_ح_مرداد18[[#This Row],[جمع ح و م م بیمه ]]*7%,"")</f>
        <v/>
      </c>
      <c r="U180"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80" s="46" t="str">
        <f>IFERROR(ج_ح_مرداد18[[#This Row],[وام]]+ج_ح_مرداد18[[#This Row],[مساعده]]+ج_ح_مرداد18[[#This Row],[بیمه پرداختنی]]+ج_ح_مرداد18[[#This Row],[مالیات پرداختنی]],"")</f>
        <v/>
      </c>
      <c r="W180" s="46" t="str">
        <f>IFERROR(ج_ح_مرداد18[[#This Row],[جمع ح و م]]-ج_ح_مرداد18[[#This Row],[جمع کسورات]],"")</f>
        <v/>
      </c>
    </row>
    <row r="181" spans="1:23" s="41" customFormat="1" ht="32.1" customHeight="1">
      <c r="B181" s="41">
        <f t="shared" si="3"/>
        <v>5</v>
      </c>
      <c r="C181" s="42" t="str">
        <f>IF(ج_ح_مرداد18[[#This Row],[نام]]&lt;&gt;"",ROW()-155+1,"")</f>
        <v/>
      </c>
      <c r="D181" s="43"/>
      <c r="E181" s="43"/>
      <c r="F181" s="44"/>
      <c r="G181" s="45"/>
      <c r="H181" s="46" t="str">
        <f>IF(ج_ح_مرداد18[[#This Row],[کارکرد]]*ج_ح_مرداد18[[#This Row],[دستمزد روزانه ]]=0,"",ج_ح_مرداد18[[#This Row],[کارکرد]]*ج_ح_مرداد18[[#This Row],[دستمزد روزانه ]])</f>
        <v/>
      </c>
      <c r="I181" s="47"/>
      <c r="J181" s="48">
        <f>(ج_ح_مرداد18[[#This Row],[دستمزد روزانه ]]/7.33)*1.4*ج_ح_مرداد18[[#This Row],[مدت اضافه کاری ]]</f>
        <v>0</v>
      </c>
      <c r="K181" s="46" t="str">
        <f>IF(ج_ح_مرداد18[[#This Row],[کارکرد]]="","",ج_ح_مرداد18[[#This Row],[کارکرد]]*حق_مسکن/30)</f>
        <v/>
      </c>
      <c r="L181" s="49"/>
      <c r="M181" s="46" t="str">
        <f>IF(ج_ح_مرداد18[[#This Row],[تعداد فرزندان]]="","",ج_ح_مرداد18[[#This Row],[کارکرد]]/31*3*ج_ح_مرداد18[[#This Row],[تعداد فرزندان]]*حداقل_حقوق_پایه_روزانه)</f>
        <v/>
      </c>
      <c r="N181" s="46" t="str">
        <f>IF(ج_ح_مرداد18[[#This Row],[کارکرد]]="","",ج_ح_مرداد18[[#This Row],[کارکرد]]*حق_خواربار/30)</f>
        <v/>
      </c>
      <c r="O181" s="46" t="str">
        <f>IFERROR(ج_ح_مرداد18[[#This Row],[حقوق پایه]]+ج_ح_مرداد18[[#This Row],[اضافه کاری]]+ج_ح_مرداد18[[#This Row],[حق مسکن]]+ج_ح_مرداد18[[#This Row],[حق اولاد]]+ج_ح_مرداد18[[#This Row],[حق و خواروبار]],"")</f>
        <v/>
      </c>
      <c r="P181"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81" s="46" t="str">
        <f>IFERROR(ج_ح_مرداد18[[#This Row],[حقوق پایه]]+ج_ح_مرداد18[[#This Row],[اضافه کاری]]-(2/7)*ج_ح_مرداد18[[#This Row],[بیمه پرداختنی]],"")</f>
        <v/>
      </c>
      <c r="R181" s="45"/>
      <c r="S181" s="45"/>
      <c r="T181" s="46" t="str">
        <f>IFERROR(ج_ح_مرداد18[[#This Row],[جمع ح و م م بیمه ]]*7%,"")</f>
        <v/>
      </c>
      <c r="U181"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81" s="46" t="str">
        <f>IFERROR(ج_ح_مرداد18[[#This Row],[وام]]+ج_ح_مرداد18[[#This Row],[مساعده]]+ج_ح_مرداد18[[#This Row],[بیمه پرداختنی]]+ج_ح_مرداد18[[#This Row],[مالیات پرداختنی]],"")</f>
        <v/>
      </c>
      <c r="W181" s="46" t="str">
        <f>IFERROR(ج_ح_مرداد18[[#This Row],[جمع ح و م]]-ج_ح_مرداد18[[#This Row],[جمع کسورات]],"")</f>
        <v/>
      </c>
    </row>
    <row r="182" spans="1:23" s="41" customFormat="1" ht="32.1" customHeight="1">
      <c r="B182" s="41">
        <f t="shared" si="3"/>
        <v>5</v>
      </c>
      <c r="C182" s="42" t="str">
        <f>IF(ج_ح_مرداد18[[#This Row],[نام]]&lt;&gt;"",ROW()-155+1,"")</f>
        <v/>
      </c>
      <c r="D182" s="43"/>
      <c r="E182" s="43"/>
      <c r="F182" s="44"/>
      <c r="G182" s="45"/>
      <c r="H182" s="46" t="str">
        <f>IF(ج_ح_مرداد18[[#This Row],[کارکرد]]*ج_ح_مرداد18[[#This Row],[دستمزد روزانه ]]=0,"",ج_ح_مرداد18[[#This Row],[کارکرد]]*ج_ح_مرداد18[[#This Row],[دستمزد روزانه ]])</f>
        <v/>
      </c>
      <c r="I182" s="47"/>
      <c r="J182" s="48">
        <f>(ج_ح_مرداد18[[#This Row],[دستمزد روزانه ]]/7.33)*1.4*ج_ح_مرداد18[[#This Row],[مدت اضافه کاری ]]</f>
        <v>0</v>
      </c>
      <c r="K182" s="46" t="str">
        <f>IF(ج_ح_مرداد18[[#This Row],[کارکرد]]="","",ج_ح_مرداد18[[#This Row],[کارکرد]]*حق_مسکن/30)</f>
        <v/>
      </c>
      <c r="L182" s="49"/>
      <c r="M182" s="46" t="str">
        <f>IF(ج_ح_مرداد18[[#This Row],[تعداد فرزندان]]="","",ج_ح_مرداد18[[#This Row],[کارکرد]]/31*3*ج_ح_مرداد18[[#This Row],[تعداد فرزندان]]*حداقل_حقوق_پایه_روزانه)</f>
        <v/>
      </c>
      <c r="N182" s="46" t="str">
        <f>IF(ج_ح_مرداد18[[#This Row],[کارکرد]]="","",ج_ح_مرداد18[[#This Row],[کارکرد]]*حق_خواربار/30)</f>
        <v/>
      </c>
      <c r="O182" s="46" t="str">
        <f>IFERROR(ج_ح_مرداد18[[#This Row],[حقوق پایه]]+ج_ح_مرداد18[[#This Row],[اضافه کاری]]+ج_ح_مرداد18[[#This Row],[حق مسکن]]+ج_ح_مرداد18[[#This Row],[حق اولاد]]+ج_ح_مرداد18[[#This Row],[حق و خواروبار]],"")</f>
        <v/>
      </c>
      <c r="P182"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82" s="46" t="str">
        <f>IFERROR(ج_ح_مرداد18[[#This Row],[حقوق پایه]]+ج_ح_مرداد18[[#This Row],[اضافه کاری]]-(2/7)*ج_ح_مرداد18[[#This Row],[بیمه پرداختنی]],"")</f>
        <v/>
      </c>
      <c r="R182" s="45"/>
      <c r="S182" s="45"/>
      <c r="T182" s="46" t="str">
        <f>IFERROR(ج_ح_مرداد18[[#This Row],[جمع ح و م م بیمه ]]*7%,"")</f>
        <v/>
      </c>
      <c r="U182"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82" s="46" t="str">
        <f>IFERROR(ج_ح_مرداد18[[#This Row],[وام]]+ج_ح_مرداد18[[#This Row],[مساعده]]+ج_ح_مرداد18[[#This Row],[بیمه پرداختنی]]+ج_ح_مرداد18[[#This Row],[مالیات پرداختنی]],"")</f>
        <v/>
      </c>
      <c r="W182" s="46" t="str">
        <f>IFERROR(ج_ح_مرداد18[[#This Row],[جمع ح و م]]-ج_ح_مرداد18[[#This Row],[جمع کسورات]],"")</f>
        <v/>
      </c>
    </row>
    <row r="183" spans="1:23" s="41" customFormat="1" ht="32.1" customHeight="1">
      <c r="B183" s="41">
        <f t="shared" si="3"/>
        <v>5</v>
      </c>
      <c r="C183" s="42" t="str">
        <f>IF(ج_ح_مرداد18[[#This Row],[نام]]&lt;&gt;"",ROW()-155+1,"")</f>
        <v/>
      </c>
      <c r="D183" s="43"/>
      <c r="E183" s="43"/>
      <c r="F183" s="44"/>
      <c r="G183" s="45"/>
      <c r="H183" s="46" t="str">
        <f>IF(ج_ح_مرداد18[[#This Row],[کارکرد]]*ج_ح_مرداد18[[#This Row],[دستمزد روزانه ]]=0,"",ج_ح_مرداد18[[#This Row],[کارکرد]]*ج_ح_مرداد18[[#This Row],[دستمزد روزانه ]])</f>
        <v/>
      </c>
      <c r="I183" s="47"/>
      <c r="J183" s="48">
        <f>(ج_ح_مرداد18[[#This Row],[دستمزد روزانه ]]/7.33)*1.4*ج_ح_مرداد18[[#This Row],[مدت اضافه کاری ]]</f>
        <v>0</v>
      </c>
      <c r="K183" s="46" t="str">
        <f>IF(ج_ح_مرداد18[[#This Row],[کارکرد]]="","",ج_ح_مرداد18[[#This Row],[کارکرد]]*حق_مسکن/30)</f>
        <v/>
      </c>
      <c r="L183" s="49"/>
      <c r="M183" s="46" t="str">
        <f>IF(ج_ح_مرداد18[[#This Row],[تعداد فرزندان]]="","",ج_ح_مرداد18[[#This Row],[کارکرد]]/31*3*ج_ح_مرداد18[[#This Row],[تعداد فرزندان]]*حداقل_حقوق_پایه_روزانه)</f>
        <v/>
      </c>
      <c r="N183" s="46" t="str">
        <f>IF(ج_ح_مرداد18[[#This Row],[کارکرد]]="","",ج_ح_مرداد18[[#This Row],[کارکرد]]*حق_خواربار/30)</f>
        <v/>
      </c>
      <c r="O183" s="46" t="str">
        <f>IFERROR(ج_ح_مرداد18[[#This Row],[حقوق پایه]]+ج_ح_مرداد18[[#This Row],[اضافه کاری]]+ج_ح_مرداد18[[#This Row],[حق مسکن]]+ج_ح_مرداد18[[#This Row],[حق اولاد]]+ج_ح_مرداد18[[#This Row],[حق و خواروبار]],"")</f>
        <v/>
      </c>
      <c r="P183"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83" s="46" t="str">
        <f>IFERROR(ج_ح_مرداد18[[#This Row],[حقوق پایه]]+ج_ح_مرداد18[[#This Row],[اضافه کاری]]-(2/7)*ج_ح_مرداد18[[#This Row],[بیمه پرداختنی]],"")</f>
        <v/>
      </c>
      <c r="R183" s="45"/>
      <c r="S183" s="45"/>
      <c r="T183" s="46" t="str">
        <f>IFERROR(ج_ح_مرداد18[[#This Row],[جمع ح و م م بیمه ]]*7%,"")</f>
        <v/>
      </c>
      <c r="U183"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83" s="46" t="str">
        <f>IFERROR(ج_ح_مرداد18[[#This Row],[وام]]+ج_ح_مرداد18[[#This Row],[مساعده]]+ج_ح_مرداد18[[#This Row],[بیمه پرداختنی]]+ج_ح_مرداد18[[#This Row],[مالیات پرداختنی]],"")</f>
        <v/>
      </c>
      <c r="W183" s="46" t="str">
        <f>IFERROR(ج_ح_مرداد18[[#This Row],[جمع ح و م]]-ج_ح_مرداد18[[#This Row],[جمع کسورات]],"")</f>
        <v/>
      </c>
    </row>
    <row r="184" spans="1:23" s="41" customFormat="1" ht="32.1" customHeight="1">
      <c r="B184" s="41">
        <f t="shared" si="3"/>
        <v>5</v>
      </c>
      <c r="C184" s="42" t="str">
        <f>IF(ج_ح_مرداد18[[#This Row],[نام]]&lt;&gt;"",ROW()-155+1,"")</f>
        <v/>
      </c>
      <c r="D184" s="43"/>
      <c r="E184" s="43"/>
      <c r="F184" s="44"/>
      <c r="G184" s="45"/>
      <c r="H184" s="46" t="str">
        <f>IF(ج_ح_مرداد18[[#This Row],[کارکرد]]*ج_ح_مرداد18[[#This Row],[دستمزد روزانه ]]=0,"",ج_ح_مرداد18[[#This Row],[کارکرد]]*ج_ح_مرداد18[[#This Row],[دستمزد روزانه ]])</f>
        <v/>
      </c>
      <c r="I184" s="47"/>
      <c r="J184" s="48">
        <f>(ج_ح_مرداد18[[#This Row],[دستمزد روزانه ]]/7.33)*1.4*ج_ح_مرداد18[[#This Row],[مدت اضافه کاری ]]</f>
        <v>0</v>
      </c>
      <c r="K184" s="46" t="str">
        <f>IF(ج_ح_مرداد18[[#This Row],[کارکرد]]="","",ج_ح_مرداد18[[#This Row],[کارکرد]]*حق_مسکن/30)</f>
        <v/>
      </c>
      <c r="L184" s="49"/>
      <c r="M184" s="46" t="str">
        <f>IF(ج_ح_مرداد18[[#This Row],[تعداد فرزندان]]="","",ج_ح_مرداد18[[#This Row],[کارکرد]]/31*3*ج_ح_مرداد18[[#This Row],[تعداد فرزندان]]*حداقل_حقوق_پایه_روزانه)</f>
        <v/>
      </c>
      <c r="N184" s="46" t="str">
        <f>IF(ج_ح_مرداد18[[#This Row],[کارکرد]]="","",ج_ح_مرداد18[[#This Row],[کارکرد]]*حق_خواربار/30)</f>
        <v/>
      </c>
      <c r="O184" s="46" t="str">
        <f>IFERROR(ج_ح_مرداد18[[#This Row],[حقوق پایه]]+ج_ح_مرداد18[[#This Row],[اضافه کاری]]+ج_ح_مرداد18[[#This Row],[حق مسکن]]+ج_ح_مرداد18[[#This Row],[حق اولاد]]+ج_ح_مرداد18[[#This Row],[حق و خواروبار]],"")</f>
        <v/>
      </c>
      <c r="P184" s="46" t="str">
        <f>IFERROR(IF(ج_ح_مرداد18[[#This Row],[حقوق پایه]]+ج_ح_مرداد18[[#This Row],[اضافه کاری]]+ج_ح_مرداد18[[#This Row],[حق مسکن]]+ج_ح_مرداد18[[#This Row],[حق و خواروبار]]&gt;حداکثر_حقوق_مشمول_بیمه_ماهانه,حداکثر_حقوق_مشمول_بیمه_ماهانه,ج_ح_مرداد18[[#This Row],[حقوق پایه]]+ج_ح_مرداد18[[#This Row],[اضافه کاری]]+ج_ح_مرداد18[[#This Row],[حق مسکن]]+ج_ح_مرداد18[[#This Row],[حق و خواروبار]]),"")</f>
        <v/>
      </c>
      <c r="Q184" s="46" t="str">
        <f>IFERROR(ج_ح_مرداد18[[#This Row],[حقوق پایه]]+ج_ح_مرداد18[[#This Row],[اضافه کاری]]-(2/7)*ج_ح_مرداد18[[#This Row],[بیمه پرداختنی]],"")</f>
        <v/>
      </c>
      <c r="R184" s="45"/>
      <c r="S184" s="45"/>
      <c r="T184" s="46" t="str">
        <f>IFERROR(ج_ح_مرداد18[[#This Row],[جمع ح و م م بیمه ]]*7%,"")</f>
        <v/>
      </c>
      <c r="U184" s="50" t="str">
        <f>IFERROR(IF(ج_ح_مرداد18[[#This Row],[جمع ح و م م مالیات]]&gt;=320000000,(ج_ح_مرداد18[[#This Row],[جمع ح و م م مالیات]]-320000000)*35%+61000000,
IF(ج_ح_مرداد18[[#This Row],[جمع ح و م م مالیات]]&gt;=240000000,(ج_ح_مرداد18[[#This Row],[جمع ح و م م مالیات]]-240000000)*30%+37000000,
IF(ج_ح_مرداد18[[#This Row],[جمع ح و م م مالیات]]&gt;=180000000,(ج_ح_مرداد18[[#This Row],[جمع ح و م م مالیات]]-180000000)*25%+22000000,
IF(ج_ح_مرداد18[[#This Row],[جمع ح و م م مالیات]]&gt;=120000000,(ج_ح_مرداد18[[#This Row],[جمع ح و م م مالیات]]-120000000)*20%+10000000,
IF(ج_ح_مرداد18[[#This Row],[جمع ح و م م مالیات]]&gt;=80000000,(ج_ح_مرداد18[[#This Row],[جمع ح و م م مالیات]]-80000000)*15%+4000000,
IF(ج_ح_مرداد18[[#This Row],[جمع ح و م م مالیات]]&gt;=40000000,(ج_ح_مرداد18[[#This Row],[جمع ح و م م مالیات]]-40000000)*10%,0)))))),"")</f>
        <v/>
      </c>
      <c r="V184" s="46" t="str">
        <f>IFERROR(ج_ح_مرداد18[[#This Row],[وام]]+ج_ح_مرداد18[[#This Row],[مساعده]]+ج_ح_مرداد18[[#This Row],[بیمه پرداختنی]]+ج_ح_مرداد18[[#This Row],[مالیات پرداختنی]],"")</f>
        <v/>
      </c>
      <c r="W184" s="46" t="str">
        <f>IFERROR(ج_ح_مرداد18[[#This Row],[جمع ح و م]]-ج_ح_مرداد18[[#This Row],[جمع کسورات]],"")</f>
        <v/>
      </c>
    </row>
    <row r="185" spans="1:23" ht="32.1" customHeight="1">
      <c r="B185" s="32">
        <f t="shared" si="3"/>
        <v>5</v>
      </c>
      <c r="C185" s="51"/>
      <c r="D185" s="52"/>
      <c r="E185" s="52" t="s">
        <v>124</v>
      </c>
      <c r="F185" s="53">
        <f>SUBTOTAL(109,ج_ح_مرداد18[کارکرد])</f>
        <v>31</v>
      </c>
      <c r="G185" s="54">
        <f>SUBTOTAL(109,ج_ح_مرداد18[[دستمزد روزانه ]])</f>
        <v>1000000</v>
      </c>
      <c r="H185" s="54">
        <f>SUBTOTAL(109,ج_ح_مرداد18[حقوق پایه])</f>
        <v>31000000</v>
      </c>
      <c r="I185" s="55">
        <f>SUBTOTAL(109,ج_ح_مرداد18[[مدت اضافه کاری ]])</f>
        <v>7.33</v>
      </c>
      <c r="J185" s="56">
        <f>SUBTOTAL(109,ج_ح_مرداد18[اضافه کاری])</f>
        <v>1400000</v>
      </c>
      <c r="K185" s="54">
        <f>SUBTOTAL(109,ج_ح_مرداد18[حق مسکن])</f>
        <v>0</v>
      </c>
      <c r="L185" s="57">
        <f>SUBTOTAL(109,ج_ح_مرداد18[تعداد فرزندان])</f>
        <v>1</v>
      </c>
      <c r="M185" s="54">
        <f>SUBTOTAL(109,ج_ح_مرداد18[حق اولاد])</f>
        <v>0</v>
      </c>
      <c r="N185" s="54">
        <f>SUBTOTAL(109,ج_ح_مرداد18[حق و خواروبار])</f>
        <v>0</v>
      </c>
      <c r="O185" s="54">
        <f>SUBTOTAL(109,ج_ح_مرداد18[جمع ح و م])</f>
        <v>32400000</v>
      </c>
      <c r="P185" s="54">
        <f>SUBTOTAL(109,ج_ح_مرداد18[[جمع ح و م م بیمه ]])</f>
        <v>0</v>
      </c>
      <c r="Q185" s="54">
        <f>SUBTOTAL(109,ج_ح_مرداد18[جمع ح و م م مالیات])</f>
        <v>0</v>
      </c>
      <c r="R185" s="54">
        <f>SUBTOTAL(109,ج_ح_مرداد18[وام])</f>
        <v>0</v>
      </c>
      <c r="S185" s="54">
        <f>SUBTOTAL(109,ج_ح_مرداد18[مساعده])</f>
        <v>0</v>
      </c>
      <c r="T185" s="54">
        <f>SUBTOTAL(109,ج_ح_مرداد18[بیمه پرداختنی])</f>
        <v>0</v>
      </c>
      <c r="U185" s="54">
        <f>SUBTOTAL(109,ج_ح_مرداد18[مالیات پرداختنی])</f>
        <v>0</v>
      </c>
      <c r="V185" s="54">
        <f>SUBTOTAL(109,ج_ح_مرداد18[جمع کسورات])</f>
        <v>0</v>
      </c>
      <c r="W185" s="54">
        <f>SUBTOTAL(109,ج_ح_مرداد18[خالص قابل پرداخت])</f>
        <v>0</v>
      </c>
    </row>
    <row r="186" spans="1:23" ht="8.1" customHeight="1"/>
    <row r="187" spans="1:23" s="33" customFormat="1" ht="39.950000000000003" customHeight="1">
      <c r="A187" s="34"/>
      <c r="B187" s="34"/>
      <c r="C187" s="109" t="s">
        <v>94</v>
      </c>
      <c r="D187" s="109"/>
      <c r="E187" s="109"/>
      <c r="F187" s="109"/>
      <c r="G187" s="109"/>
      <c r="H187" s="109"/>
      <c r="I187" s="109"/>
      <c r="J187" s="109"/>
      <c r="K187" s="109"/>
      <c r="L187" s="109"/>
      <c r="M187" s="109"/>
      <c r="N187" s="109"/>
      <c r="O187" s="109"/>
      <c r="P187" s="109"/>
      <c r="Q187" s="109"/>
      <c r="R187" s="109"/>
      <c r="S187" s="109"/>
      <c r="T187" s="109"/>
      <c r="U187" s="109"/>
      <c r="V187" s="109"/>
      <c r="W187" s="109"/>
    </row>
    <row r="188" spans="1:23" s="33" customFormat="1" ht="50.1" customHeight="1">
      <c r="C188" s="110" t="s">
        <v>130</v>
      </c>
      <c r="D188" s="110"/>
      <c r="E188" s="110"/>
      <c r="F188" s="110"/>
      <c r="G188" s="110"/>
      <c r="H188" s="110"/>
      <c r="I188" s="110"/>
      <c r="J188" s="110"/>
      <c r="K188" s="110"/>
      <c r="L188" s="110"/>
      <c r="M188" s="110"/>
      <c r="N188" s="110"/>
      <c r="O188" s="110"/>
      <c r="P188" s="110"/>
      <c r="Q188" s="110"/>
      <c r="R188" s="110"/>
      <c r="S188" s="110"/>
      <c r="T188" s="110"/>
      <c r="U188" s="110"/>
      <c r="V188" s="110"/>
      <c r="W188" s="110"/>
    </row>
    <row r="189" spans="1:23" s="35" customFormat="1" ht="50.1" customHeight="1">
      <c r="C189" s="104" t="s">
        <v>45</v>
      </c>
      <c r="D189" s="36" t="s">
        <v>96</v>
      </c>
      <c r="E189" s="36" t="s">
        <v>97</v>
      </c>
      <c r="F189" s="36" t="s">
        <v>98</v>
      </c>
      <c r="G189" s="36" t="s">
        <v>99</v>
      </c>
      <c r="H189" s="36" t="s">
        <v>100</v>
      </c>
      <c r="I189" s="36" t="s">
        <v>101</v>
      </c>
      <c r="J189" s="36" t="s">
        <v>102</v>
      </c>
      <c r="K189" s="36" t="s">
        <v>17</v>
      </c>
      <c r="L189" s="36" t="s">
        <v>103</v>
      </c>
      <c r="M189" s="36" t="s">
        <v>104</v>
      </c>
      <c r="N189" s="36" t="s">
        <v>105</v>
      </c>
      <c r="O189" s="36" t="s">
        <v>106</v>
      </c>
      <c r="P189" s="36" t="s">
        <v>107</v>
      </c>
      <c r="Q189" s="36" t="s">
        <v>108</v>
      </c>
      <c r="R189" s="36" t="s">
        <v>109</v>
      </c>
      <c r="S189" s="36" t="s">
        <v>110</v>
      </c>
      <c r="T189" s="36" t="s">
        <v>111</v>
      </c>
      <c r="U189" s="36" t="s">
        <v>112</v>
      </c>
      <c r="V189" s="36" t="s">
        <v>113</v>
      </c>
      <c r="W189" s="36" t="s">
        <v>114</v>
      </c>
    </row>
    <row r="190" spans="1:23" s="33" customFormat="1" ht="32.1" customHeight="1">
      <c r="C190" s="104"/>
      <c r="D190" s="37">
        <v>1</v>
      </c>
      <c r="E190" s="37">
        <v>2</v>
      </c>
      <c r="F190" s="37">
        <v>3</v>
      </c>
      <c r="G190" s="37">
        <v>4</v>
      </c>
      <c r="H190" s="37">
        <v>5</v>
      </c>
      <c r="I190" s="37">
        <v>6</v>
      </c>
      <c r="J190" s="37">
        <v>7</v>
      </c>
      <c r="K190" s="37">
        <v>8</v>
      </c>
      <c r="L190" s="37">
        <v>9</v>
      </c>
      <c r="M190" s="37">
        <v>10</v>
      </c>
      <c r="N190" s="37">
        <v>11</v>
      </c>
      <c r="O190" s="37">
        <v>12</v>
      </c>
      <c r="P190" s="37">
        <v>13</v>
      </c>
      <c r="Q190" s="37">
        <v>14</v>
      </c>
      <c r="R190" s="37">
        <v>15</v>
      </c>
      <c r="S190" s="37">
        <v>16</v>
      </c>
      <c r="T190" s="37">
        <v>17</v>
      </c>
      <c r="U190" s="37">
        <v>18</v>
      </c>
      <c r="V190" s="37">
        <v>19</v>
      </c>
      <c r="W190" s="38">
        <v>20</v>
      </c>
    </row>
    <row r="191" spans="1:23" s="33" customFormat="1" ht="20.100000000000001" customHeight="1">
      <c r="C191" s="39" t="s">
        <v>45</v>
      </c>
      <c r="D191" s="39" t="s">
        <v>96</v>
      </c>
      <c r="E191" s="39" t="s">
        <v>97</v>
      </c>
      <c r="F191" s="39" t="s">
        <v>98</v>
      </c>
      <c r="G191" s="39" t="s">
        <v>99</v>
      </c>
      <c r="H191" s="39" t="s">
        <v>100</v>
      </c>
      <c r="I191" s="39" t="s">
        <v>115</v>
      </c>
      <c r="J191" s="39" t="s">
        <v>102</v>
      </c>
      <c r="K191" s="39" t="s">
        <v>17</v>
      </c>
      <c r="L191" s="39" t="s">
        <v>116</v>
      </c>
      <c r="M191" s="39" t="s">
        <v>104</v>
      </c>
      <c r="N191" s="39" t="s">
        <v>117</v>
      </c>
      <c r="O191" s="39" t="s">
        <v>118</v>
      </c>
      <c r="P191" s="39" t="s">
        <v>119</v>
      </c>
      <c r="Q191" s="40" t="s">
        <v>120</v>
      </c>
      <c r="R191" s="39" t="s">
        <v>109</v>
      </c>
      <c r="S191" s="39" t="s">
        <v>110</v>
      </c>
      <c r="T191" s="40" t="s">
        <v>121</v>
      </c>
      <c r="U191" s="40" t="s">
        <v>14</v>
      </c>
      <c r="V191" s="39" t="s">
        <v>113</v>
      </c>
      <c r="W191" s="39" t="s">
        <v>122</v>
      </c>
    </row>
    <row r="192" spans="1:23" s="41" customFormat="1" ht="32.1" customHeight="1">
      <c r="B192" s="41">
        <f>B185+1</f>
        <v>6</v>
      </c>
      <c r="C192" s="42">
        <f>IF(ج_ح_شهریور19[[#This Row],[نام]]&lt;&gt;"",ROW()-192+1,"")</f>
        <v>1</v>
      </c>
      <c r="D192" s="43" t="s">
        <v>126</v>
      </c>
      <c r="E192" s="43" t="s">
        <v>126</v>
      </c>
      <c r="F192" s="44">
        <v>31</v>
      </c>
      <c r="G192" s="45">
        <v>1000000</v>
      </c>
      <c r="H192" s="46">
        <f>IF(ج_ح_شهریور19[[#This Row],[کارکرد]]*ج_ح_شهریور19[[#This Row],[دستمزد روزانه ]]=0,"",ج_ح_شهریور19[[#This Row],[کارکرد]]*ج_ح_شهریور19[[#This Row],[دستمزد روزانه ]])</f>
        <v>31000000</v>
      </c>
      <c r="I192" s="47">
        <v>7.33</v>
      </c>
      <c r="J192" s="48">
        <f>(ج_ح_شهریور19[[#This Row],[دستمزد روزانه ]]/7.33)*1.4*ج_ح_شهریور19[[#This Row],[مدت اضافه کاری ]]</f>
        <v>1400000</v>
      </c>
      <c r="K192" s="46">
        <f>IF(ج_ح_شهریور19[[#This Row],[کارکرد]]="","",ج_ح_شهریور19[[#This Row],[کارکرد]]*حق_مسکن/30)</f>
        <v>0</v>
      </c>
      <c r="L192" s="49">
        <v>1</v>
      </c>
      <c r="M192" s="46">
        <f>IF(ج_ح_شهریور19[[#This Row],[تعداد فرزندان]]="","",ج_ح_شهریور19[[#This Row],[کارکرد]]/31*3*ج_ح_شهریور19[[#This Row],[تعداد فرزندان]]*حداقل_حقوق_پایه_روزانه)</f>
        <v>0</v>
      </c>
      <c r="N192" s="46">
        <f>IF(ج_ح_شهریور19[[#This Row],[کارکرد]]="","",ج_ح_شهریور19[[#This Row],[کارکرد]]*حق_خواربار/30)</f>
        <v>0</v>
      </c>
      <c r="O192" s="46">
        <f>IFERROR(ج_ح_شهریور19[[#This Row],[حقوق پایه]]+ج_ح_شهریور19[[#This Row],[اضافه کاری]]+ج_ح_شهریور19[[#This Row],[حق مسکن]]+ج_ح_شهریور19[[#This Row],[حق اولاد]]+ج_ح_شهریور19[[#This Row],[حق و خواروبار]],"")</f>
        <v>32400000</v>
      </c>
      <c r="P192"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192" s="46" t="str">
        <f>IFERROR(ج_ح_شهریور19[[#This Row],[حقوق پایه]]+ج_ح_شهریور19[[#This Row],[اضافه کاری]]-(2/7)*ج_ح_شهریور19[[#This Row],[بیمه پرداختنی]],"")</f>
        <v/>
      </c>
      <c r="R192" s="45"/>
      <c r="S192" s="45"/>
      <c r="T192" s="46" t="str">
        <f>IFERROR(ج_ح_شهریور19[[#This Row],[جمع ح و م م بیمه ]]*7%,"")</f>
        <v/>
      </c>
      <c r="U192"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192" s="46" t="str">
        <f>IFERROR(ج_ح_شهریور19[[#This Row],[وام]]+ج_ح_شهریور19[[#This Row],[مساعده]]+ج_ح_شهریور19[[#This Row],[بیمه پرداختنی]]+ج_ح_شهریور19[[#This Row],[مالیات پرداختنی]],"")</f>
        <v/>
      </c>
      <c r="W192" s="46" t="str">
        <f>IFERROR(ج_ح_شهریور19[[#This Row],[جمع ح و م]]-ج_ح_شهریور19[[#This Row],[جمع کسورات]],"")</f>
        <v/>
      </c>
    </row>
    <row r="193" spans="2:23" s="41" customFormat="1" ht="32.1" customHeight="1">
      <c r="B193" s="41">
        <f>B192</f>
        <v>6</v>
      </c>
      <c r="C193" s="42" t="str">
        <f>IF(ج_ح_شهریور19[[#This Row],[نام]]&lt;&gt;"",ROW()-192+1,"")</f>
        <v/>
      </c>
      <c r="D193" s="43"/>
      <c r="E193" s="43"/>
      <c r="F193" s="44"/>
      <c r="G193" s="45"/>
      <c r="H193" s="46" t="str">
        <f>IF(ج_ح_شهریور19[[#This Row],[کارکرد]]*ج_ح_شهریور19[[#This Row],[دستمزد روزانه ]]=0,"",ج_ح_شهریور19[[#This Row],[کارکرد]]*ج_ح_شهریور19[[#This Row],[دستمزد روزانه ]])</f>
        <v/>
      </c>
      <c r="I193" s="47"/>
      <c r="J193" s="48">
        <f>(ج_ح_شهریور19[[#This Row],[دستمزد روزانه ]]/7.33)*1.4*ج_ح_شهریور19[[#This Row],[مدت اضافه کاری ]]</f>
        <v>0</v>
      </c>
      <c r="K193" s="46" t="str">
        <f>IF(ج_ح_شهریور19[[#This Row],[کارکرد]]="","",ج_ح_شهریور19[[#This Row],[کارکرد]]*حق_مسکن/30)</f>
        <v/>
      </c>
      <c r="L193" s="49"/>
      <c r="M193" s="46" t="str">
        <f>IF(ج_ح_شهریور19[[#This Row],[تعداد فرزندان]]="","",ج_ح_شهریور19[[#This Row],[کارکرد]]/31*3*ج_ح_شهریور19[[#This Row],[تعداد فرزندان]]*حداقل_حقوق_پایه_روزانه)</f>
        <v/>
      </c>
      <c r="N193" s="46" t="str">
        <f>IF(ج_ح_شهریور19[[#This Row],[کارکرد]]="","",ج_ح_شهریور19[[#This Row],[کارکرد]]*حق_خواربار/30)</f>
        <v/>
      </c>
      <c r="O193" s="46" t="str">
        <f>IFERROR(ج_ح_شهریور19[[#This Row],[حقوق پایه]]+ج_ح_شهریور19[[#This Row],[اضافه کاری]]+ج_ح_شهریور19[[#This Row],[حق مسکن]]+ج_ح_شهریور19[[#This Row],[حق اولاد]]+ج_ح_شهریور19[[#This Row],[حق و خواروبار]],"")</f>
        <v/>
      </c>
      <c r="P193"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193" s="46" t="str">
        <f>IFERROR(ج_ح_شهریور19[[#This Row],[حقوق پایه]]+ج_ح_شهریور19[[#This Row],[اضافه کاری]]-(2/7)*ج_ح_شهریور19[[#This Row],[بیمه پرداختنی]],"")</f>
        <v/>
      </c>
      <c r="R193" s="45"/>
      <c r="S193" s="45"/>
      <c r="T193" s="46" t="str">
        <f>IFERROR(ج_ح_شهریور19[[#This Row],[جمع ح و م م بیمه ]]*7%,"")</f>
        <v/>
      </c>
      <c r="U193"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193" s="46" t="str">
        <f>IFERROR(ج_ح_شهریور19[[#This Row],[وام]]+ج_ح_شهریور19[[#This Row],[مساعده]]+ج_ح_شهریور19[[#This Row],[بیمه پرداختنی]]+ج_ح_شهریور19[[#This Row],[مالیات پرداختنی]],"")</f>
        <v/>
      </c>
      <c r="W193" s="46" t="str">
        <f>IFERROR(ج_ح_شهریور19[[#This Row],[جمع ح و م]]-ج_ح_شهریور19[[#This Row],[جمع کسورات]],"")</f>
        <v/>
      </c>
    </row>
    <row r="194" spans="2:23" s="41" customFormat="1" ht="32.1" customHeight="1">
      <c r="B194" s="41">
        <f t="shared" ref="B194:B222" si="4">B193</f>
        <v>6</v>
      </c>
      <c r="C194" s="42" t="str">
        <f>IF(ج_ح_شهریور19[[#This Row],[نام]]&lt;&gt;"",ROW()-192+1,"")</f>
        <v/>
      </c>
      <c r="D194" s="43"/>
      <c r="E194" s="43"/>
      <c r="F194" s="44"/>
      <c r="G194" s="45"/>
      <c r="H194" s="46" t="str">
        <f>IF(ج_ح_شهریور19[[#This Row],[کارکرد]]*ج_ح_شهریور19[[#This Row],[دستمزد روزانه ]]=0,"",ج_ح_شهریور19[[#This Row],[کارکرد]]*ج_ح_شهریور19[[#This Row],[دستمزد روزانه ]])</f>
        <v/>
      </c>
      <c r="I194" s="47"/>
      <c r="J194" s="48">
        <f>(ج_ح_شهریور19[[#This Row],[دستمزد روزانه ]]/7.33)*1.4*ج_ح_شهریور19[[#This Row],[مدت اضافه کاری ]]</f>
        <v>0</v>
      </c>
      <c r="K194" s="46" t="str">
        <f>IF(ج_ح_شهریور19[[#This Row],[کارکرد]]="","",ج_ح_شهریور19[[#This Row],[کارکرد]]*حق_مسکن/30)</f>
        <v/>
      </c>
      <c r="L194" s="49"/>
      <c r="M194" s="46" t="str">
        <f>IF(ج_ح_شهریور19[[#This Row],[تعداد فرزندان]]="","",ج_ح_شهریور19[[#This Row],[کارکرد]]/31*3*ج_ح_شهریور19[[#This Row],[تعداد فرزندان]]*حداقل_حقوق_پایه_روزانه)</f>
        <v/>
      </c>
      <c r="N194" s="46" t="str">
        <f>IF(ج_ح_شهریور19[[#This Row],[کارکرد]]="","",ج_ح_شهریور19[[#This Row],[کارکرد]]*حق_خواربار/30)</f>
        <v/>
      </c>
      <c r="O194" s="46" t="str">
        <f>IFERROR(ج_ح_شهریور19[[#This Row],[حقوق پایه]]+ج_ح_شهریور19[[#This Row],[اضافه کاری]]+ج_ح_شهریور19[[#This Row],[حق مسکن]]+ج_ح_شهریور19[[#This Row],[حق اولاد]]+ج_ح_شهریور19[[#This Row],[حق و خواروبار]],"")</f>
        <v/>
      </c>
      <c r="P194"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194" s="46" t="str">
        <f>IFERROR(ج_ح_شهریور19[[#This Row],[حقوق پایه]]+ج_ح_شهریور19[[#This Row],[اضافه کاری]]-(2/7)*ج_ح_شهریور19[[#This Row],[بیمه پرداختنی]],"")</f>
        <v/>
      </c>
      <c r="R194" s="45"/>
      <c r="S194" s="45"/>
      <c r="T194" s="46" t="str">
        <f>IFERROR(ج_ح_شهریور19[[#This Row],[جمع ح و م م بیمه ]]*7%,"")</f>
        <v/>
      </c>
      <c r="U194"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194" s="46" t="str">
        <f>IFERROR(ج_ح_شهریور19[[#This Row],[وام]]+ج_ح_شهریور19[[#This Row],[مساعده]]+ج_ح_شهریور19[[#This Row],[بیمه پرداختنی]]+ج_ح_شهریور19[[#This Row],[مالیات پرداختنی]],"")</f>
        <v/>
      </c>
      <c r="W194" s="46" t="str">
        <f>IFERROR(ج_ح_شهریور19[[#This Row],[جمع ح و م]]-ج_ح_شهریور19[[#This Row],[جمع کسورات]],"")</f>
        <v/>
      </c>
    </row>
    <row r="195" spans="2:23" s="41" customFormat="1" ht="32.1" customHeight="1">
      <c r="B195" s="41">
        <f t="shared" si="4"/>
        <v>6</v>
      </c>
      <c r="C195" s="42" t="str">
        <f>IF(ج_ح_شهریور19[[#This Row],[نام]]&lt;&gt;"",ROW()-192+1,"")</f>
        <v/>
      </c>
      <c r="D195" s="43"/>
      <c r="E195" s="43"/>
      <c r="F195" s="44"/>
      <c r="G195" s="45"/>
      <c r="H195" s="46" t="str">
        <f>IF(ج_ح_شهریور19[[#This Row],[کارکرد]]*ج_ح_شهریور19[[#This Row],[دستمزد روزانه ]]=0,"",ج_ح_شهریور19[[#This Row],[کارکرد]]*ج_ح_شهریور19[[#This Row],[دستمزد روزانه ]])</f>
        <v/>
      </c>
      <c r="I195" s="47"/>
      <c r="J195" s="48">
        <f>(ج_ح_شهریور19[[#This Row],[دستمزد روزانه ]]/7.33)*1.4*ج_ح_شهریور19[[#This Row],[مدت اضافه کاری ]]</f>
        <v>0</v>
      </c>
      <c r="K195" s="46" t="str">
        <f>IF(ج_ح_شهریور19[[#This Row],[کارکرد]]="","",ج_ح_شهریور19[[#This Row],[کارکرد]]*حق_مسکن/30)</f>
        <v/>
      </c>
      <c r="L195" s="49"/>
      <c r="M195" s="46" t="str">
        <f>IF(ج_ح_شهریور19[[#This Row],[تعداد فرزندان]]="","",ج_ح_شهریور19[[#This Row],[کارکرد]]/31*3*ج_ح_شهریور19[[#This Row],[تعداد فرزندان]]*حداقل_حقوق_پایه_روزانه)</f>
        <v/>
      </c>
      <c r="N195" s="46" t="str">
        <f>IF(ج_ح_شهریور19[[#This Row],[کارکرد]]="","",ج_ح_شهریور19[[#This Row],[کارکرد]]*حق_خواربار/30)</f>
        <v/>
      </c>
      <c r="O195" s="46" t="str">
        <f>IFERROR(ج_ح_شهریور19[[#This Row],[حقوق پایه]]+ج_ح_شهریور19[[#This Row],[اضافه کاری]]+ج_ح_شهریور19[[#This Row],[حق مسکن]]+ج_ح_شهریور19[[#This Row],[حق اولاد]]+ج_ح_شهریور19[[#This Row],[حق و خواروبار]],"")</f>
        <v/>
      </c>
      <c r="P195"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195" s="46" t="str">
        <f>IFERROR(ج_ح_شهریور19[[#This Row],[حقوق پایه]]+ج_ح_شهریور19[[#This Row],[اضافه کاری]]-(2/7)*ج_ح_شهریور19[[#This Row],[بیمه پرداختنی]],"")</f>
        <v/>
      </c>
      <c r="R195" s="45"/>
      <c r="S195" s="45"/>
      <c r="T195" s="46" t="str">
        <f>IFERROR(ج_ح_شهریور19[[#This Row],[جمع ح و م م بیمه ]]*7%,"")</f>
        <v/>
      </c>
      <c r="U195"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195" s="46" t="str">
        <f>IFERROR(ج_ح_شهریور19[[#This Row],[وام]]+ج_ح_شهریور19[[#This Row],[مساعده]]+ج_ح_شهریور19[[#This Row],[بیمه پرداختنی]]+ج_ح_شهریور19[[#This Row],[مالیات پرداختنی]],"")</f>
        <v/>
      </c>
      <c r="W195" s="46" t="str">
        <f>IFERROR(ج_ح_شهریور19[[#This Row],[جمع ح و م]]-ج_ح_شهریور19[[#This Row],[جمع کسورات]],"")</f>
        <v/>
      </c>
    </row>
    <row r="196" spans="2:23" s="41" customFormat="1" ht="32.1" customHeight="1">
      <c r="B196" s="41">
        <f t="shared" si="4"/>
        <v>6</v>
      </c>
      <c r="C196" s="42" t="str">
        <f>IF(ج_ح_شهریور19[[#This Row],[نام]]&lt;&gt;"",ROW()-192+1,"")</f>
        <v/>
      </c>
      <c r="D196" s="43"/>
      <c r="E196" s="43"/>
      <c r="F196" s="44"/>
      <c r="G196" s="45"/>
      <c r="H196" s="46" t="str">
        <f>IF(ج_ح_شهریور19[[#This Row],[کارکرد]]*ج_ح_شهریور19[[#This Row],[دستمزد روزانه ]]=0,"",ج_ح_شهریور19[[#This Row],[کارکرد]]*ج_ح_شهریور19[[#This Row],[دستمزد روزانه ]])</f>
        <v/>
      </c>
      <c r="I196" s="47"/>
      <c r="J196" s="48">
        <f>(ج_ح_شهریور19[[#This Row],[دستمزد روزانه ]]/7.33)*1.4*ج_ح_شهریور19[[#This Row],[مدت اضافه کاری ]]</f>
        <v>0</v>
      </c>
      <c r="K196" s="46" t="str">
        <f>IF(ج_ح_شهریور19[[#This Row],[کارکرد]]="","",ج_ح_شهریور19[[#This Row],[کارکرد]]*حق_مسکن/30)</f>
        <v/>
      </c>
      <c r="L196" s="49"/>
      <c r="M196" s="46" t="str">
        <f>IF(ج_ح_شهریور19[[#This Row],[تعداد فرزندان]]="","",ج_ح_شهریور19[[#This Row],[کارکرد]]/31*3*ج_ح_شهریور19[[#This Row],[تعداد فرزندان]]*حداقل_حقوق_پایه_روزانه)</f>
        <v/>
      </c>
      <c r="N196" s="46" t="str">
        <f>IF(ج_ح_شهریور19[[#This Row],[کارکرد]]="","",ج_ح_شهریور19[[#This Row],[کارکرد]]*حق_خواربار/30)</f>
        <v/>
      </c>
      <c r="O196" s="46" t="str">
        <f>IFERROR(ج_ح_شهریور19[[#This Row],[حقوق پایه]]+ج_ح_شهریور19[[#This Row],[اضافه کاری]]+ج_ح_شهریور19[[#This Row],[حق مسکن]]+ج_ح_شهریور19[[#This Row],[حق اولاد]]+ج_ح_شهریور19[[#This Row],[حق و خواروبار]],"")</f>
        <v/>
      </c>
      <c r="P196"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196" s="46" t="str">
        <f>IFERROR(ج_ح_شهریور19[[#This Row],[حقوق پایه]]+ج_ح_شهریور19[[#This Row],[اضافه کاری]]-(2/7)*ج_ح_شهریور19[[#This Row],[بیمه پرداختنی]],"")</f>
        <v/>
      </c>
      <c r="R196" s="45"/>
      <c r="S196" s="45"/>
      <c r="T196" s="46" t="str">
        <f>IFERROR(ج_ح_شهریور19[[#This Row],[جمع ح و م م بیمه ]]*7%,"")</f>
        <v/>
      </c>
      <c r="U196"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196" s="46" t="str">
        <f>IFERROR(ج_ح_شهریور19[[#This Row],[وام]]+ج_ح_شهریور19[[#This Row],[مساعده]]+ج_ح_شهریور19[[#This Row],[بیمه پرداختنی]]+ج_ح_شهریور19[[#This Row],[مالیات پرداختنی]],"")</f>
        <v/>
      </c>
      <c r="W196" s="46" t="str">
        <f>IFERROR(ج_ح_شهریور19[[#This Row],[جمع ح و م]]-ج_ح_شهریور19[[#This Row],[جمع کسورات]],"")</f>
        <v/>
      </c>
    </row>
    <row r="197" spans="2:23" s="41" customFormat="1" ht="32.1" customHeight="1">
      <c r="B197" s="41">
        <f t="shared" si="4"/>
        <v>6</v>
      </c>
      <c r="C197" s="42" t="str">
        <f>IF(ج_ح_شهریور19[[#This Row],[نام]]&lt;&gt;"",ROW()-192+1,"")</f>
        <v/>
      </c>
      <c r="D197" s="43"/>
      <c r="E197" s="43"/>
      <c r="F197" s="44"/>
      <c r="G197" s="45"/>
      <c r="H197" s="46" t="str">
        <f>IF(ج_ح_شهریور19[[#This Row],[کارکرد]]*ج_ح_شهریور19[[#This Row],[دستمزد روزانه ]]=0,"",ج_ح_شهریور19[[#This Row],[کارکرد]]*ج_ح_شهریور19[[#This Row],[دستمزد روزانه ]])</f>
        <v/>
      </c>
      <c r="I197" s="47"/>
      <c r="J197" s="48">
        <f>(ج_ح_شهریور19[[#This Row],[دستمزد روزانه ]]/7.33)*1.4*ج_ح_شهریور19[[#This Row],[مدت اضافه کاری ]]</f>
        <v>0</v>
      </c>
      <c r="K197" s="46" t="str">
        <f>IF(ج_ح_شهریور19[[#This Row],[کارکرد]]="","",ج_ح_شهریور19[[#This Row],[کارکرد]]*حق_مسکن/30)</f>
        <v/>
      </c>
      <c r="L197" s="49"/>
      <c r="M197" s="46" t="str">
        <f>IF(ج_ح_شهریور19[[#This Row],[تعداد فرزندان]]="","",ج_ح_شهریور19[[#This Row],[کارکرد]]/31*3*ج_ح_شهریور19[[#This Row],[تعداد فرزندان]]*حداقل_حقوق_پایه_روزانه)</f>
        <v/>
      </c>
      <c r="N197" s="46" t="str">
        <f>IF(ج_ح_شهریور19[[#This Row],[کارکرد]]="","",ج_ح_شهریور19[[#This Row],[کارکرد]]*حق_خواربار/30)</f>
        <v/>
      </c>
      <c r="O197" s="46" t="str">
        <f>IFERROR(ج_ح_شهریور19[[#This Row],[حقوق پایه]]+ج_ح_شهریور19[[#This Row],[اضافه کاری]]+ج_ح_شهریور19[[#This Row],[حق مسکن]]+ج_ح_شهریور19[[#This Row],[حق اولاد]]+ج_ح_شهریور19[[#This Row],[حق و خواروبار]],"")</f>
        <v/>
      </c>
      <c r="P197"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197" s="46" t="str">
        <f>IFERROR(ج_ح_شهریور19[[#This Row],[حقوق پایه]]+ج_ح_شهریور19[[#This Row],[اضافه کاری]]-(2/7)*ج_ح_شهریور19[[#This Row],[بیمه پرداختنی]],"")</f>
        <v/>
      </c>
      <c r="R197" s="45"/>
      <c r="S197" s="45"/>
      <c r="T197" s="46" t="str">
        <f>IFERROR(ج_ح_شهریور19[[#This Row],[جمع ح و م م بیمه ]]*7%,"")</f>
        <v/>
      </c>
      <c r="U197"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197" s="46" t="str">
        <f>IFERROR(ج_ح_شهریور19[[#This Row],[وام]]+ج_ح_شهریور19[[#This Row],[مساعده]]+ج_ح_شهریور19[[#This Row],[بیمه پرداختنی]]+ج_ح_شهریور19[[#This Row],[مالیات پرداختنی]],"")</f>
        <v/>
      </c>
      <c r="W197" s="46" t="str">
        <f>IFERROR(ج_ح_شهریور19[[#This Row],[جمع ح و م]]-ج_ح_شهریور19[[#This Row],[جمع کسورات]],"")</f>
        <v/>
      </c>
    </row>
    <row r="198" spans="2:23" s="41" customFormat="1" ht="32.1" customHeight="1">
      <c r="B198" s="41">
        <f t="shared" si="4"/>
        <v>6</v>
      </c>
      <c r="C198" s="42" t="str">
        <f>IF(ج_ح_شهریور19[[#This Row],[نام]]&lt;&gt;"",ROW()-192+1,"")</f>
        <v/>
      </c>
      <c r="D198" s="43"/>
      <c r="E198" s="43"/>
      <c r="F198" s="44"/>
      <c r="G198" s="45"/>
      <c r="H198" s="46" t="str">
        <f>IF(ج_ح_شهریور19[[#This Row],[کارکرد]]*ج_ح_شهریور19[[#This Row],[دستمزد روزانه ]]=0,"",ج_ح_شهریور19[[#This Row],[کارکرد]]*ج_ح_شهریور19[[#This Row],[دستمزد روزانه ]])</f>
        <v/>
      </c>
      <c r="I198" s="47"/>
      <c r="J198" s="48">
        <f>(ج_ح_شهریور19[[#This Row],[دستمزد روزانه ]]/7.33)*1.4*ج_ح_شهریور19[[#This Row],[مدت اضافه کاری ]]</f>
        <v>0</v>
      </c>
      <c r="K198" s="46" t="str">
        <f>IF(ج_ح_شهریور19[[#This Row],[کارکرد]]="","",ج_ح_شهریور19[[#This Row],[کارکرد]]*حق_مسکن/30)</f>
        <v/>
      </c>
      <c r="L198" s="49"/>
      <c r="M198" s="46" t="str">
        <f>IF(ج_ح_شهریور19[[#This Row],[تعداد فرزندان]]="","",ج_ح_شهریور19[[#This Row],[کارکرد]]/31*3*ج_ح_شهریور19[[#This Row],[تعداد فرزندان]]*حداقل_حقوق_پایه_روزانه)</f>
        <v/>
      </c>
      <c r="N198" s="46" t="str">
        <f>IF(ج_ح_شهریور19[[#This Row],[کارکرد]]="","",ج_ح_شهریور19[[#This Row],[کارکرد]]*حق_خواربار/30)</f>
        <v/>
      </c>
      <c r="O198" s="46" t="str">
        <f>IFERROR(ج_ح_شهریور19[[#This Row],[حقوق پایه]]+ج_ح_شهریور19[[#This Row],[اضافه کاری]]+ج_ح_شهریور19[[#This Row],[حق مسکن]]+ج_ح_شهریور19[[#This Row],[حق اولاد]]+ج_ح_شهریور19[[#This Row],[حق و خواروبار]],"")</f>
        <v/>
      </c>
      <c r="P198"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198" s="46" t="str">
        <f>IFERROR(ج_ح_شهریور19[[#This Row],[حقوق پایه]]+ج_ح_شهریور19[[#This Row],[اضافه کاری]]-(2/7)*ج_ح_شهریور19[[#This Row],[بیمه پرداختنی]],"")</f>
        <v/>
      </c>
      <c r="R198" s="45"/>
      <c r="S198" s="45"/>
      <c r="T198" s="46" t="str">
        <f>IFERROR(ج_ح_شهریور19[[#This Row],[جمع ح و م م بیمه ]]*7%,"")</f>
        <v/>
      </c>
      <c r="U198"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198" s="46" t="str">
        <f>IFERROR(ج_ح_شهریور19[[#This Row],[وام]]+ج_ح_شهریور19[[#This Row],[مساعده]]+ج_ح_شهریور19[[#This Row],[بیمه پرداختنی]]+ج_ح_شهریور19[[#This Row],[مالیات پرداختنی]],"")</f>
        <v/>
      </c>
      <c r="W198" s="46" t="str">
        <f>IFERROR(ج_ح_شهریور19[[#This Row],[جمع ح و م]]-ج_ح_شهریور19[[#This Row],[جمع کسورات]],"")</f>
        <v/>
      </c>
    </row>
    <row r="199" spans="2:23" s="41" customFormat="1" ht="32.1" customHeight="1">
      <c r="B199" s="41">
        <f t="shared" si="4"/>
        <v>6</v>
      </c>
      <c r="C199" s="42" t="str">
        <f>IF(ج_ح_شهریور19[[#This Row],[نام]]&lt;&gt;"",ROW()-192+1,"")</f>
        <v/>
      </c>
      <c r="D199" s="43"/>
      <c r="E199" s="43"/>
      <c r="F199" s="44"/>
      <c r="G199" s="45"/>
      <c r="H199" s="46" t="str">
        <f>IF(ج_ح_شهریور19[[#This Row],[کارکرد]]*ج_ح_شهریور19[[#This Row],[دستمزد روزانه ]]=0,"",ج_ح_شهریور19[[#This Row],[کارکرد]]*ج_ح_شهریور19[[#This Row],[دستمزد روزانه ]])</f>
        <v/>
      </c>
      <c r="I199" s="47"/>
      <c r="J199" s="48">
        <f>(ج_ح_شهریور19[[#This Row],[دستمزد روزانه ]]/7.33)*1.4*ج_ح_شهریور19[[#This Row],[مدت اضافه کاری ]]</f>
        <v>0</v>
      </c>
      <c r="K199" s="46" t="str">
        <f>IF(ج_ح_شهریور19[[#This Row],[کارکرد]]="","",ج_ح_شهریور19[[#This Row],[کارکرد]]*حق_مسکن/30)</f>
        <v/>
      </c>
      <c r="L199" s="49"/>
      <c r="M199" s="46" t="str">
        <f>IF(ج_ح_شهریور19[[#This Row],[تعداد فرزندان]]="","",ج_ح_شهریور19[[#This Row],[کارکرد]]/31*3*ج_ح_شهریور19[[#This Row],[تعداد فرزندان]]*حداقل_حقوق_پایه_روزانه)</f>
        <v/>
      </c>
      <c r="N199" s="46" t="str">
        <f>IF(ج_ح_شهریور19[[#This Row],[کارکرد]]="","",ج_ح_شهریور19[[#This Row],[کارکرد]]*حق_خواربار/30)</f>
        <v/>
      </c>
      <c r="O199" s="46" t="str">
        <f>IFERROR(ج_ح_شهریور19[[#This Row],[حقوق پایه]]+ج_ح_شهریور19[[#This Row],[اضافه کاری]]+ج_ح_شهریور19[[#This Row],[حق مسکن]]+ج_ح_شهریور19[[#This Row],[حق اولاد]]+ج_ح_شهریور19[[#This Row],[حق و خواروبار]],"")</f>
        <v/>
      </c>
      <c r="P199"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199" s="46" t="str">
        <f>IFERROR(ج_ح_شهریور19[[#This Row],[حقوق پایه]]+ج_ح_شهریور19[[#This Row],[اضافه کاری]]-(2/7)*ج_ح_شهریور19[[#This Row],[بیمه پرداختنی]],"")</f>
        <v/>
      </c>
      <c r="R199" s="45"/>
      <c r="S199" s="45"/>
      <c r="T199" s="46" t="str">
        <f>IFERROR(ج_ح_شهریور19[[#This Row],[جمع ح و م م بیمه ]]*7%,"")</f>
        <v/>
      </c>
      <c r="U199"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199" s="46" t="str">
        <f>IFERROR(ج_ح_شهریور19[[#This Row],[وام]]+ج_ح_شهریور19[[#This Row],[مساعده]]+ج_ح_شهریور19[[#This Row],[بیمه پرداختنی]]+ج_ح_شهریور19[[#This Row],[مالیات پرداختنی]],"")</f>
        <v/>
      </c>
      <c r="W199" s="46" t="str">
        <f>IFERROR(ج_ح_شهریور19[[#This Row],[جمع ح و م]]-ج_ح_شهریور19[[#This Row],[جمع کسورات]],"")</f>
        <v/>
      </c>
    </row>
    <row r="200" spans="2:23" s="41" customFormat="1" ht="32.1" customHeight="1">
      <c r="B200" s="41">
        <f t="shared" si="4"/>
        <v>6</v>
      </c>
      <c r="C200" s="42" t="str">
        <f>IF(ج_ح_شهریور19[[#This Row],[نام]]&lt;&gt;"",ROW()-192+1,"")</f>
        <v/>
      </c>
      <c r="D200" s="43"/>
      <c r="E200" s="43"/>
      <c r="F200" s="44"/>
      <c r="G200" s="45"/>
      <c r="H200" s="46" t="str">
        <f>IF(ج_ح_شهریور19[[#This Row],[کارکرد]]*ج_ح_شهریور19[[#This Row],[دستمزد روزانه ]]=0,"",ج_ح_شهریور19[[#This Row],[کارکرد]]*ج_ح_شهریور19[[#This Row],[دستمزد روزانه ]])</f>
        <v/>
      </c>
      <c r="I200" s="47"/>
      <c r="J200" s="48">
        <f>(ج_ح_شهریور19[[#This Row],[دستمزد روزانه ]]/7.33)*1.4*ج_ح_شهریور19[[#This Row],[مدت اضافه کاری ]]</f>
        <v>0</v>
      </c>
      <c r="K200" s="46" t="str">
        <f>IF(ج_ح_شهریور19[[#This Row],[کارکرد]]="","",ج_ح_شهریور19[[#This Row],[کارکرد]]*حق_مسکن/30)</f>
        <v/>
      </c>
      <c r="L200" s="49"/>
      <c r="M200" s="46" t="str">
        <f>IF(ج_ح_شهریور19[[#This Row],[تعداد فرزندان]]="","",ج_ح_شهریور19[[#This Row],[کارکرد]]/31*3*ج_ح_شهریور19[[#This Row],[تعداد فرزندان]]*حداقل_حقوق_پایه_روزانه)</f>
        <v/>
      </c>
      <c r="N200" s="46" t="str">
        <f>IF(ج_ح_شهریور19[[#This Row],[کارکرد]]="","",ج_ح_شهریور19[[#This Row],[کارکرد]]*حق_خواربار/30)</f>
        <v/>
      </c>
      <c r="O200" s="46" t="str">
        <f>IFERROR(ج_ح_شهریور19[[#This Row],[حقوق پایه]]+ج_ح_شهریور19[[#This Row],[اضافه کاری]]+ج_ح_شهریور19[[#This Row],[حق مسکن]]+ج_ح_شهریور19[[#This Row],[حق اولاد]]+ج_ح_شهریور19[[#This Row],[حق و خواروبار]],"")</f>
        <v/>
      </c>
      <c r="P200"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00" s="46" t="str">
        <f>IFERROR(ج_ح_شهریور19[[#This Row],[حقوق پایه]]+ج_ح_شهریور19[[#This Row],[اضافه کاری]]-(2/7)*ج_ح_شهریور19[[#This Row],[بیمه پرداختنی]],"")</f>
        <v/>
      </c>
      <c r="R200" s="45"/>
      <c r="S200" s="45"/>
      <c r="T200" s="46" t="str">
        <f>IFERROR(ج_ح_شهریور19[[#This Row],[جمع ح و م م بیمه ]]*7%,"")</f>
        <v/>
      </c>
      <c r="U200"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00" s="46" t="str">
        <f>IFERROR(ج_ح_شهریور19[[#This Row],[وام]]+ج_ح_شهریور19[[#This Row],[مساعده]]+ج_ح_شهریور19[[#This Row],[بیمه پرداختنی]]+ج_ح_شهریور19[[#This Row],[مالیات پرداختنی]],"")</f>
        <v/>
      </c>
      <c r="W200" s="46" t="str">
        <f>IFERROR(ج_ح_شهریور19[[#This Row],[جمع ح و م]]-ج_ح_شهریور19[[#This Row],[جمع کسورات]],"")</f>
        <v/>
      </c>
    </row>
    <row r="201" spans="2:23" s="41" customFormat="1" ht="32.1" customHeight="1">
      <c r="B201" s="41">
        <f t="shared" si="4"/>
        <v>6</v>
      </c>
      <c r="C201" s="42" t="str">
        <f>IF(ج_ح_شهریور19[[#This Row],[نام]]&lt;&gt;"",ROW()-192+1,"")</f>
        <v/>
      </c>
      <c r="D201" s="43"/>
      <c r="E201" s="43"/>
      <c r="F201" s="44"/>
      <c r="G201" s="45"/>
      <c r="H201" s="46" t="str">
        <f>IF(ج_ح_شهریور19[[#This Row],[کارکرد]]*ج_ح_شهریور19[[#This Row],[دستمزد روزانه ]]=0,"",ج_ح_شهریور19[[#This Row],[کارکرد]]*ج_ح_شهریور19[[#This Row],[دستمزد روزانه ]])</f>
        <v/>
      </c>
      <c r="I201" s="47"/>
      <c r="J201" s="48">
        <f>(ج_ح_شهریور19[[#This Row],[دستمزد روزانه ]]/7.33)*1.4*ج_ح_شهریور19[[#This Row],[مدت اضافه کاری ]]</f>
        <v>0</v>
      </c>
      <c r="K201" s="46" t="str">
        <f>IF(ج_ح_شهریور19[[#This Row],[کارکرد]]="","",ج_ح_شهریور19[[#This Row],[کارکرد]]*حق_مسکن/30)</f>
        <v/>
      </c>
      <c r="L201" s="49"/>
      <c r="M201" s="46" t="str">
        <f>IF(ج_ح_شهریور19[[#This Row],[تعداد فرزندان]]="","",ج_ح_شهریور19[[#This Row],[کارکرد]]/31*3*ج_ح_شهریور19[[#This Row],[تعداد فرزندان]]*حداقل_حقوق_پایه_روزانه)</f>
        <v/>
      </c>
      <c r="N201" s="46" t="str">
        <f>IF(ج_ح_شهریور19[[#This Row],[کارکرد]]="","",ج_ح_شهریور19[[#This Row],[کارکرد]]*حق_خواربار/30)</f>
        <v/>
      </c>
      <c r="O201" s="46" t="str">
        <f>IFERROR(ج_ح_شهریور19[[#This Row],[حقوق پایه]]+ج_ح_شهریور19[[#This Row],[اضافه کاری]]+ج_ح_شهریور19[[#This Row],[حق مسکن]]+ج_ح_شهریور19[[#This Row],[حق اولاد]]+ج_ح_شهریور19[[#This Row],[حق و خواروبار]],"")</f>
        <v/>
      </c>
      <c r="P201"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01" s="46" t="str">
        <f>IFERROR(ج_ح_شهریور19[[#This Row],[حقوق پایه]]+ج_ح_شهریور19[[#This Row],[اضافه کاری]]-(2/7)*ج_ح_شهریور19[[#This Row],[بیمه پرداختنی]],"")</f>
        <v/>
      </c>
      <c r="R201" s="45"/>
      <c r="S201" s="45"/>
      <c r="T201" s="46" t="str">
        <f>IFERROR(ج_ح_شهریور19[[#This Row],[جمع ح و م م بیمه ]]*7%,"")</f>
        <v/>
      </c>
      <c r="U201"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01" s="46" t="str">
        <f>IFERROR(ج_ح_شهریور19[[#This Row],[وام]]+ج_ح_شهریور19[[#This Row],[مساعده]]+ج_ح_شهریور19[[#This Row],[بیمه پرداختنی]]+ج_ح_شهریور19[[#This Row],[مالیات پرداختنی]],"")</f>
        <v/>
      </c>
      <c r="W201" s="46" t="str">
        <f>IFERROR(ج_ح_شهریور19[[#This Row],[جمع ح و م]]-ج_ح_شهریور19[[#This Row],[جمع کسورات]],"")</f>
        <v/>
      </c>
    </row>
    <row r="202" spans="2:23" s="41" customFormat="1" ht="32.1" customHeight="1">
      <c r="B202" s="41">
        <f t="shared" si="4"/>
        <v>6</v>
      </c>
      <c r="C202" s="42" t="str">
        <f>IF(ج_ح_شهریور19[[#This Row],[نام]]&lt;&gt;"",ROW()-192+1,"")</f>
        <v/>
      </c>
      <c r="D202" s="43"/>
      <c r="E202" s="43"/>
      <c r="F202" s="44"/>
      <c r="G202" s="45"/>
      <c r="H202" s="46" t="str">
        <f>IF(ج_ح_شهریور19[[#This Row],[کارکرد]]*ج_ح_شهریور19[[#This Row],[دستمزد روزانه ]]=0,"",ج_ح_شهریور19[[#This Row],[کارکرد]]*ج_ح_شهریور19[[#This Row],[دستمزد روزانه ]])</f>
        <v/>
      </c>
      <c r="I202" s="47"/>
      <c r="J202" s="48">
        <f>(ج_ح_شهریور19[[#This Row],[دستمزد روزانه ]]/7.33)*1.4*ج_ح_شهریور19[[#This Row],[مدت اضافه کاری ]]</f>
        <v>0</v>
      </c>
      <c r="K202" s="46" t="str">
        <f>IF(ج_ح_شهریور19[[#This Row],[کارکرد]]="","",ج_ح_شهریور19[[#This Row],[کارکرد]]*حق_مسکن/30)</f>
        <v/>
      </c>
      <c r="L202" s="49"/>
      <c r="M202" s="46" t="str">
        <f>IF(ج_ح_شهریور19[[#This Row],[تعداد فرزندان]]="","",ج_ح_شهریور19[[#This Row],[کارکرد]]/31*3*ج_ح_شهریور19[[#This Row],[تعداد فرزندان]]*حداقل_حقوق_پایه_روزانه)</f>
        <v/>
      </c>
      <c r="N202" s="46" t="str">
        <f>IF(ج_ح_شهریور19[[#This Row],[کارکرد]]="","",ج_ح_شهریور19[[#This Row],[کارکرد]]*حق_خواربار/30)</f>
        <v/>
      </c>
      <c r="O202" s="46" t="str">
        <f>IFERROR(ج_ح_شهریور19[[#This Row],[حقوق پایه]]+ج_ح_شهریور19[[#This Row],[اضافه کاری]]+ج_ح_شهریور19[[#This Row],[حق مسکن]]+ج_ح_شهریور19[[#This Row],[حق اولاد]]+ج_ح_شهریور19[[#This Row],[حق و خواروبار]],"")</f>
        <v/>
      </c>
      <c r="P202"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02" s="46" t="str">
        <f>IFERROR(ج_ح_شهریور19[[#This Row],[حقوق پایه]]+ج_ح_شهریور19[[#This Row],[اضافه کاری]]-(2/7)*ج_ح_شهریور19[[#This Row],[بیمه پرداختنی]],"")</f>
        <v/>
      </c>
      <c r="R202" s="45"/>
      <c r="S202" s="45"/>
      <c r="T202" s="46" t="str">
        <f>IFERROR(ج_ح_شهریور19[[#This Row],[جمع ح و م م بیمه ]]*7%,"")</f>
        <v/>
      </c>
      <c r="U202"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02" s="46" t="str">
        <f>IFERROR(ج_ح_شهریور19[[#This Row],[وام]]+ج_ح_شهریور19[[#This Row],[مساعده]]+ج_ح_شهریور19[[#This Row],[بیمه پرداختنی]]+ج_ح_شهریور19[[#This Row],[مالیات پرداختنی]],"")</f>
        <v/>
      </c>
      <c r="W202" s="46" t="str">
        <f>IFERROR(ج_ح_شهریور19[[#This Row],[جمع ح و م]]-ج_ح_شهریور19[[#This Row],[جمع کسورات]],"")</f>
        <v/>
      </c>
    </row>
    <row r="203" spans="2:23" s="41" customFormat="1" ht="32.1" customHeight="1">
      <c r="B203" s="41">
        <f t="shared" si="4"/>
        <v>6</v>
      </c>
      <c r="C203" s="42" t="str">
        <f>IF(ج_ح_شهریور19[[#This Row],[نام]]&lt;&gt;"",ROW()-192+1,"")</f>
        <v/>
      </c>
      <c r="D203" s="43"/>
      <c r="E203" s="43"/>
      <c r="F203" s="44"/>
      <c r="G203" s="45"/>
      <c r="H203" s="46" t="str">
        <f>IF(ج_ح_شهریور19[[#This Row],[کارکرد]]*ج_ح_شهریور19[[#This Row],[دستمزد روزانه ]]=0,"",ج_ح_شهریور19[[#This Row],[کارکرد]]*ج_ح_شهریور19[[#This Row],[دستمزد روزانه ]])</f>
        <v/>
      </c>
      <c r="I203" s="47"/>
      <c r="J203" s="48">
        <f>(ج_ح_شهریور19[[#This Row],[دستمزد روزانه ]]/7.33)*1.4*ج_ح_شهریور19[[#This Row],[مدت اضافه کاری ]]</f>
        <v>0</v>
      </c>
      <c r="K203" s="46" t="str">
        <f>IF(ج_ح_شهریور19[[#This Row],[کارکرد]]="","",ج_ح_شهریور19[[#This Row],[کارکرد]]*حق_مسکن/30)</f>
        <v/>
      </c>
      <c r="L203" s="49"/>
      <c r="M203" s="46" t="str">
        <f>IF(ج_ح_شهریور19[[#This Row],[تعداد فرزندان]]="","",ج_ح_شهریور19[[#This Row],[کارکرد]]/31*3*ج_ح_شهریور19[[#This Row],[تعداد فرزندان]]*حداقل_حقوق_پایه_روزانه)</f>
        <v/>
      </c>
      <c r="N203" s="46" t="str">
        <f>IF(ج_ح_شهریور19[[#This Row],[کارکرد]]="","",ج_ح_شهریور19[[#This Row],[کارکرد]]*حق_خواربار/30)</f>
        <v/>
      </c>
      <c r="O203" s="46" t="str">
        <f>IFERROR(ج_ح_شهریور19[[#This Row],[حقوق پایه]]+ج_ح_شهریور19[[#This Row],[اضافه کاری]]+ج_ح_شهریور19[[#This Row],[حق مسکن]]+ج_ح_شهریور19[[#This Row],[حق اولاد]]+ج_ح_شهریور19[[#This Row],[حق و خواروبار]],"")</f>
        <v/>
      </c>
      <c r="P203"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03" s="46" t="str">
        <f>IFERROR(ج_ح_شهریور19[[#This Row],[حقوق پایه]]+ج_ح_شهریور19[[#This Row],[اضافه کاری]]-(2/7)*ج_ح_شهریور19[[#This Row],[بیمه پرداختنی]],"")</f>
        <v/>
      </c>
      <c r="R203" s="45"/>
      <c r="S203" s="45"/>
      <c r="T203" s="46" t="str">
        <f>IFERROR(ج_ح_شهریور19[[#This Row],[جمع ح و م م بیمه ]]*7%,"")</f>
        <v/>
      </c>
      <c r="U203"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03" s="46" t="str">
        <f>IFERROR(ج_ح_شهریور19[[#This Row],[وام]]+ج_ح_شهریور19[[#This Row],[مساعده]]+ج_ح_شهریور19[[#This Row],[بیمه پرداختنی]]+ج_ح_شهریور19[[#This Row],[مالیات پرداختنی]],"")</f>
        <v/>
      </c>
      <c r="W203" s="46" t="str">
        <f>IFERROR(ج_ح_شهریور19[[#This Row],[جمع ح و م]]-ج_ح_شهریور19[[#This Row],[جمع کسورات]],"")</f>
        <v/>
      </c>
    </row>
    <row r="204" spans="2:23" s="41" customFormat="1" ht="32.1" customHeight="1">
      <c r="B204" s="41">
        <f t="shared" si="4"/>
        <v>6</v>
      </c>
      <c r="C204" s="42" t="str">
        <f>IF(ج_ح_شهریور19[[#This Row],[نام]]&lt;&gt;"",ROW()-192+1,"")</f>
        <v/>
      </c>
      <c r="D204" s="43"/>
      <c r="E204" s="43"/>
      <c r="F204" s="44"/>
      <c r="G204" s="45"/>
      <c r="H204" s="46" t="str">
        <f>IF(ج_ح_شهریور19[[#This Row],[کارکرد]]*ج_ح_شهریور19[[#This Row],[دستمزد روزانه ]]=0,"",ج_ح_شهریور19[[#This Row],[کارکرد]]*ج_ح_شهریور19[[#This Row],[دستمزد روزانه ]])</f>
        <v/>
      </c>
      <c r="I204" s="47"/>
      <c r="J204" s="48">
        <f>(ج_ح_شهریور19[[#This Row],[دستمزد روزانه ]]/7.33)*1.4*ج_ح_شهریور19[[#This Row],[مدت اضافه کاری ]]</f>
        <v>0</v>
      </c>
      <c r="K204" s="46" t="str">
        <f>IF(ج_ح_شهریور19[[#This Row],[کارکرد]]="","",ج_ح_شهریور19[[#This Row],[کارکرد]]*حق_مسکن/30)</f>
        <v/>
      </c>
      <c r="L204" s="49"/>
      <c r="M204" s="46" t="str">
        <f>IF(ج_ح_شهریور19[[#This Row],[تعداد فرزندان]]="","",ج_ح_شهریور19[[#This Row],[کارکرد]]/31*3*ج_ح_شهریور19[[#This Row],[تعداد فرزندان]]*حداقل_حقوق_پایه_روزانه)</f>
        <v/>
      </c>
      <c r="N204" s="46" t="str">
        <f>IF(ج_ح_شهریور19[[#This Row],[کارکرد]]="","",ج_ح_شهریور19[[#This Row],[کارکرد]]*حق_خواربار/30)</f>
        <v/>
      </c>
      <c r="O204" s="46" t="str">
        <f>IFERROR(ج_ح_شهریور19[[#This Row],[حقوق پایه]]+ج_ح_شهریور19[[#This Row],[اضافه کاری]]+ج_ح_شهریور19[[#This Row],[حق مسکن]]+ج_ح_شهریور19[[#This Row],[حق اولاد]]+ج_ح_شهریور19[[#This Row],[حق و خواروبار]],"")</f>
        <v/>
      </c>
      <c r="P204"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04" s="46" t="str">
        <f>IFERROR(ج_ح_شهریور19[[#This Row],[حقوق پایه]]+ج_ح_شهریور19[[#This Row],[اضافه کاری]]-(2/7)*ج_ح_شهریور19[[#This Row],[بیمه پرداختنی]],"")</f>
        <v/>
      </c>
      <c r="R204" s="45"/>
      <c r="S204" s="45"/>
      <c r="T204" s="46" t="str">
        <f>IFERROR(ج_ح_شهریور19[[#This Row],[جمع ح و م م بیمه ]]*7%,"")</f>
        <v/>
      </c>
      <c r="U204"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04" s="46" t="str">
        <f>IFERROR(ج_ح_شهریور19[[#This Row],[وام]]+ج_ح_شهریور19[[#This Row],[مساعده]]+ج_ح_شهریور19[[#This Row],[بیمه پرداختنی]]+ج_ح_شهریور19[[#This Row],[مالیات پرداختنی]],"")</f>
        <v/>
      </c>
      <c r="W204" s="46" t="str">
        <f>IFERROR(ج_ح_شهریور19[[#This Row],[جمع ح و م]]-ج_ح_شهریور19[[#This Row],[جمع کسورات]],"")</f>
        <v/>
      </c>
    </row>
    <row r="205" spans="2:23" s="41" customFormat="1" ht="32.1" customHeight="1">
      <c r="B205" s="41">
        <f t="shared" si="4"/>
        <v>6</v>
      </c>
      <c r="C205" s="42" t="str">
        <f>IF(ج_ح_شهریور19[[#This Row],[نام]]&lt;&gt;"",ROW()-192+1,"")</f>
        <v/>
      </c>
      <c r="D205" s="43"/>
      <c r="E205" s="43"/>
      <c r="F205" s="44"/>
      <c r="G205" s="45"/>
      <c r="H205" s="46" t="str">
        <f>IF(ج_ح_شهریور19[[#This Row],[کارکرد]]*ج_ح_شهریور19[[#This Row],[دستمزد روزانه ]]=0,"",ج_ح_شهریور19[[#This Row],[کارکرد]]*ج_ح_شهریور19[[#This Row],[دستمزد روزانه ]])</f>
        <v/>
      </c>
      <c r="I205" s="47"/>
      <c r="J205" s="48">
        <f>(ج_ح_شهریور19[[#This Row],[دستمزد روزانه ]]/7.33)*1.4*ج_ح_شهریور19[[#This Row],[مدت اضافه کاری ]]</f>
        <v>0</v>
      </c>
      <c r="K205" s="46" t="str">
        <f>IF(ج_ح_شهریور19[[#This Row],[کارکرد]]="","",ج_ح_شهریور19[[#This Row],[کارکرد]]*حق_مسکن/30)</f>
        <v/>
      </c>
      <c r="L205" s="49"/>
      <c r="M205" s="46" t="str">
        <f>IF(ج_ح_شهریور19[[#This Row],[تعداد فرزندان]]="","",ج_ح_شهریور19[[#This Row],[کارکرد]]/31*3*ج_ح_شهریور19[[#This Row],[تعداد فرزندان]]*حداقل_حقوق_پایه_روزانه)</f>
        <v/>
      </c>
      <c r="N205" s="46" t="str">
        <f>IF(ج_ح_شهریور19[[#This Row],[کارکرد]]="","",ج_ح_شهریور19[[#This Row],[کارکرد]]*حق_خواربار/30)</f>
        <v/>
      </c>
      <c r="O205" s="46" t="str">
        <f>IFERROR(ج_ح_شهریور19[[#This Row],[حقوق پایه]]+ج_ح_شهریور19[[#This Row],[اضافه کاری]]+ج_ح_شهریور19[[#This Row],[حق مسکن]]+ج_ح_شهریور19[[#This Row],[حق اولاد]]+ج_ح_شهریور19[[#This Row],[حق و خواروبار]],"")</f>
        <v/>
      </c>
      <c r="P205"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05" s="46" t="str">
        <f>IFERROR(ج_ح_شهریور19[[#This Row],[حقوق پایه]]+ج_ح_شهریور19[[#This Row],[اضافه کاری]]-(2/7)*ج_ح_شهریور19[[#This Row],[بیمه پرداختنی]],"")</f>
        <v/>
      </c>
      <c r="R205" s="45"/>
      <c r="S205" s="45"/>
      <c r="T205" s="46" t="str">
        <f>IFERROR(ج_ح_شهریور19[[#This Row],[جمع ح و م م بیمه ]]*7%,"")</f>
        <v/>
      </c>
      <c r="U205"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05" s="46" t="str">
        <f>IFERROR(ج_ح_شهریور19[[#This Row],[وام]]+ج_ح_شهریور19[[#This Row],[مساعده]]+ج_ح_شهریور19[[#This Row],[بیمه پرداختنی]]+ج_ح_شهریور19[[#This Row],[مالیات پرداختنی]],"")</f>
        <v/>
      </c>
      <c r="W205" s="46" t="str">
        <f>IFERROR(ج_ح_شهریور19[[#This Row],[جمع ح و م]]-ج_ح_شهریور19[[#This Row],[جمع کسورات]],"")</f>
        <v/>
      </c>
    </row>
    <row r="206" spans="2:23" s="41" customFormat="1" ht="32.1" customHeight="1">
      <c r="B206" s="41">
        <f t="shared" si="4"/>
        <v>6</v>
      </c>
      <c r="C206" s="42" t="str">
        <f>IF(ج_ح_شهریور19[[#This Row],[نام]]&lt;&gt;"",ROW()-192+1,"")</f>
        <v/>
      </c>
      <c r="D206" s="43"/>
      <c r="E206" s="43"/>
      <c r="F206" s="44"/>
      <c r="G206" s="45"/>
      <c r="H206" s="46" t="str">
        <f>IF(ج_ح_شهریور19[[#This Row],[کارکرد]]*ج_ح_شهریور19[[#This Row],[دستمزد روزانه ]]=0,"",ج_ح_شهریور19[[#This Row],[کارکرد]]*ج_ح_شهریور19[[#This Row],[دستمزد روزانه ]])</f>
        <v/>
      </c>
      <c r="I206" s="47"/>
      <c r="J206" s="48">
        <f>(ج_ح_شهریور19[[#This Row],[دستمزد روزانه ]]/7.33)*1.4*ج_ح_شهریور19[[#This Row],[مدت اضافه کاری ]]</f>
        <v>0</v>
      </c>
      <c r="K206" s="46" t="str">
        <f>IF(ج_ح_شهریور19[[#This Row],[کارکرد]]="","",ج_ح_شهریور19[[#This Row],[کارکرد]]*حق_مسکن/30)</f>
        <v/>
      </c>
      <c r="L206" s="49"/>
      <c r="M206" s="46" t="str">
        <f>IF(ج_ح_شهریور19[[#This Row],[تعداد فرزندان]]="","",ج_ح_شهریور19[[#This Row],[کارکرد]]/31*3*ج_ح_شهریور19[[#This Row],[تعداد فرزندان]]*حداقل_حقوق_پایه_روزانه)</f>
        <v/>
      </c>
      <c r="N206" s="46" t="str">
        <f>IF(ج_ح_شهریور19[[#This Row],[کارکرد]]="","",ج_ح_شهریور19[[#This Row],[کارکرد]]*حق_خواربار/30)</f>
        <v/>
      </c>
      <c r="O206" s="46" t="str">
        <f>IFERROR(ج_ح_شهریور19[[#This Row],[حقوق پایه]]+ج_ح_شهریور19[[#This Row],[اضافه کاری]]+ج_ح_شهریور19[[#This Row],[حق مسکن]]+ج_ح_شهریور19[[#This Row],[حق اولاد]]+ج_ح_شهریور19[[#This Row],[حق و خواروبار]],"")</f>
        <v/>
      </c>
      <c r="P206"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06" s="46" t="str">
        <f>IFERROR(ج_ح_شهریور19[[#This Row],[حقوق پایه]]+ج_ح_شهریور19[[#This Row],[اضافه کاری]]-(2/7)*ج_ح_شهریور19[[#This Row],[بیمه پرداختنی]],"")</f>
        <v/>
      </c>
      <c r="R206" s="45"/>
      <c r="S206" s="45"/>
      <c r="T206" s="46" t="str">
        <f>IFERROR(ج_ح_شهریور19[[#This Row],[جمع ح و م م بیمه ]]*7%,"")</f>
        <v/>
      </c>
      <c r="U206"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06" s="46" t="str">
        <f>IFERROR(ج_ح_شهریور19[[#This Row],[وام]]+ج_ح_شهریور19[[#This Row],[مساعده]]+ج_ح_شهریور19[[#This Row],[بیمه پرداختنی]]+ج_ح_شهریور19[[#This Row],[مالیات پرداختنی]],"")</f>
        <v/>
      </c>
      <c r="W206" s="46" t="str">
        <f>IFERROR(ج_ح_شهریور19[[#This Row],[جمع ح و م]]-ج_ح_شهریور19[[#This Row],[جمع کسورات]],"")</f>
        <v/>
      </c>
    </row>
    <row r="207" spans="2:23" s="41" customFormat="1" ht="32.1" customHeight="1">
      <c r="B207" s="41">
        <f t="shared" si="4"/>
        <v>6</v>
      </c>
      <c r="C207" s="42" t="str">
        <f>IF(ج_ح_شهریور19[[#This Row],[نام]]&lt;&gt;"",ROW()-192+1,"")</f>
        <v/>
      </c>
      <c r="D207" s="43"/>
      <c r="E207" s="43"/>
      <c r="F207" s="44"/>
      <c r="G207" s="45"/>
      <c r="H207" s="46" t="str">
        <f>IF(ج_ح_شهریور19[[#This Row],[کارکرد]]*ج_ح_شهریور19[[#This Row],[دستمزد روزانه ]]=0,"",ج_ح_شهریور19[[#This Row],[کارکرد]]*ج_ح_شهریور19[[#This Row],[دستمزد روزانه ]])</f>
        <v/>
      </c>
      <c r="I207" s="47"/>
      <c r="J207" s="48">
        <f>(ج_ح_شهریور19[[#This Row],[دستمزد روزانه ]]/7.33)*1.4*ج_ح_شهریور19[[#This Row],[مدت اضافه کاری ]]</f>
        <v>0</v>
      </c>
      <c r="K207" s="46" t="str">
        <f>IF(ج_ح_شهریور19[[#This Row],[کارکرد]]="","",ج_ح_شهریور19[[#This Row],[کارکرد]]*حق_مسکن/30)</f>
        <v/>
      </c>
      <c r="L207" s="49"/>
      <c r="M207" s="46" t="str">
        <f>IF(ج_ح_شهریور19[[#This Row],[تعداد فرزندان]]="","",ج_ح_شهریور19[[#This Row],[کارکرد]]/31*3*ج_ح_شهریور19[[#This Row],[تعداد فرزندان]]*حداقل_حقوق_پایه_روزانه)</f>
        <v/>
      </c>
      <c r="N207" s="46" t="str">
        <f>IF(ج_ح_شهریور19[[#This Row],[کارکرد]]="","",ج_ح_شهریور19[[#This Row],[کارکرد]]*حق_خواربار/30)</f>
        <v/>
      </c>
      <c r="O207" s="46" t="str">
        <f>IFERROR(ج_ح_شهریور19[[#This Row],[حقوق پایه]]+ج_ح_شهریور19[[#This Row],[اضافه کاری]]+ج_ح_شهریور19[[#This Row],[حق مسکن]]+ج_ح_شهریور19[[#This Row],[حق اولاد]]+ج_ح_شهریور19[[#This Row],[حق و خواروبار]],"")</f>
        <v/>
      </c>
      <c r="P207"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07" s="46" t="str">
        <f>IFERROR(ج_ح_شهریور19[[#This Row],[حقوق پایه]]+ج_ح_شهریور19[[#This Row],[اضافه کاری]]-(2/7)*ج_ح_شهریور19[[#This Row],[بیمه پرداختنی]],"")</f>
        <v/>
      </c>
      <c r="R207" s="45"/>
      <c r="S207" s="45"/>
      <c r="T207" s="46" t="str">
        <f>IFERROR(ج_ح_شهریور19[[#This Row],[جمع ح و م م بیمه ]]*7%,"")</f>
        <v/>
      </c>
      <c r="U207"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07" s="46" t="str">
        <f>IFERROR(ج_ح_شهریور19[[#This Row],[وام]]+ج_ح_شهریور19[[#This Row],[مساعده]]+ج_ح_شهریور19[[#This Row],[بیمه پرداختنی]]+ج_ح_شهریور19[[#This Row],[مالیات پرداختنی]],"")</f>
        <v/>
      </c>
      <c r="W207" s="46" t="str">
        <f>IFERROR(ج_ح_شهریور19[[#This Row],[جمع ح و م]]-ج_ح_شهریور19[[#This Row],[جمع کسورات]],"")</f>
        <v/>
      </c>
    </row>
    <row r="208" spans="2:23" s="41" customFormat="1" ht="32.1" customHeight="1">
      <c r="B208" s="41">
        <f t="shared" si="4"/>
        <v>6</v>
      </c>
      <c r="C208" s="42" t="str">
        <f>IF(ج_ح_شهریور19[[#This Row],[نام]]&lt;&gt;"",ROW()-192+1,"")</f>
        <v/>
      </c>
      <c r="D208" s="43"/>
      <c r="E208" s="43"/>
      <c r="F208" s="44"/>
      <c r="G208" s="45"/>
      <c r="H208" s="46" t="str">
        <f>IF(ج_ح_شهریور19[[#This Row],[کارکرد]]*ج_ح_شهریور19[[#This Row],[دستمزد روزانه ]]=0,"",ج_ح_شهریور19[[#This Row],[کارکرد]]*ج_ح_شهریور19[[#This Row],[دستمزد روزانه ]])</f>
        <v/>
      </c>
      <c r="I208" s="47"/>
      <c r="J208" s="48">
        <f>(ج_ح_شهریور19[[#This Row],[دستمزد روزانه ]]/7.33)*1.4*ج_ح_شهریور19[[#This Row],[مدت اضافه کاری ]]</f>
        <v>0</v>
      </c>
      <c r="K208" s="46" t="str">
        <f>IF(ج_ح_شهریور19[[#This Row],[کارکرد]]="","",ج_ح_شهریور19[[#This Row],[کارکرد]]*حق_مسکن/30)</f>
        <v/>
      </c>
      <c r="L208" s="49"/>
      <c r="M208" s="46" t="str">
        <f>IF(ج_ح_شهریور19[[#This Row],[تعداد فرزندان]]="","",ج_ح_شهریور19[[#This Row],[کارکرد]]/31*3*ج_ح_شهریور19[[#This Row],[تعداد فرزندان]]*حداقل_حقوق_پایه_روزانه)</f>
        <v/>
      </c>
      <c r="N208" s="46" t="str">
        <f>IF(ج_ح_شهریور19[[#This Row],[کارکرد]]="","",ج_ح_شهریور19[[#This Row],[کارکرد]]*حق_خواربار/30)</f>
        <v/>
      </c>
      <c r="O208" s="46" t="str">
        <f>IFERROR(ج_ح_شهریور19[[#This Row],[حقوق پایه]]+ج_ح_شهریور19[[#This Row],[اضافه کاری]]+ج_ح_شهریور19[[#This Row],[حق مسکن]]+ج_ح_شهریور19[[#This Row],[حق اولاد]]+ج_ح_شهریور19[[#This Row],[حق و خواروبار]],"")</f>
        <v/>
      </c>
      <c r="P208"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08" s="46" t="str">
        <f>IFERROR(ج_ح_شهریور19[[#This Row],[حقوق پایه]]+ج_ح_شهریور19[[#This Row],[اضافه کاری]]-(2/7)*ج_ح_شهریور19[[#This Row],[بیمه پرداختنی]],"")</f>
        <v/>
      </c>
      <c r="R208" s="45"/>
      <c r="S208" s="45"/>
      <c r="T208" s="46" t="str">
        <f>IFERROR(ج_ح_شهریور19[[#This Row],[جمع ح و م م بیمه ]]*7%,"")</f>
        <v/>
      </c>
      <c r="U208"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08" s="46" t="str">
        <f>IFERROR(ج_ح_شهریور19[[#This Row],[وام]]+ج_ح_شهریور19[[#This Row],[مساعده]]+ج_ح_شهریور19[[#This Row],[بیمه پرداختنی]]+ج_ح_شهریور19[[#This Row],[مالیات پرداختنی]],"")</f>
        <v/>
      </c>
      <c r="W208" s="46" t="str">
        <f>IFERROR(ج_ح_شهریور19[[#This Row],[جمع ح و م]]-ج_ح_شهریور19[[#This Row],[جمع کسورات]],"")</f>
        <v/>
      </c>
    </row>
    <row r="209" spans="1:23" s="41" customFormat="1" ht="32.1" customHeight="1">
      <c r="B209" s="41">
        <f t="shared" si="4"/>
        <v>6</v>
      </c>
      <c r="C209" s="42" t="str">
        <f>IF(ج_ح_شهریور19[[#This Row],[نام]]&lt;&gt;"",ROW()-192+1,"")</f>
        <v/>
      </c>
      <c r="D209" s="43"/>
      <c r="E209" s="43"/>
      <c r="F209" s="44"/>
      <c r="G209" s="45"/>
      <c r="H209" s="46" t="str">
        <f>IF(ج_ح_شهریور19[[#This Row],[کارکرد]]*ج_ح_شهریور19[[#This Row],[دستمزد روزانه ]]=0,"",ج_ح_شهریور19[[#This Row],[کارکرد]]*ج_ح_شهریور19[[#This Row],[دستمزد روزانه ]])</f>
        <v/>
      </c>
      <c r="I209" s="47"/>
      <c r="J209" s="48">
        <f>(ج_ح_شهریور19[[#This Row],[دستمزد روزانه ]]/7.33)*1.4*ج_ح_شهریور19[[#This Row],[مدت اضافه کاری ]]</f>
        <v>0</v>
      </c>
      <c r="K209" s="46" t="str">
        <f>IF(ج_ح_شهریور19[[#This Row],[کارکرد]]="","",ج_ح_شهریور19[[#This Row],[کارکرد]]*حق_مسکن/30)</f>
        <v/>
      </c>
      <c r="L209" s="49"/>
      <c r="M209" s="46" t="str">
        <f>IF(ج_ح_شهریور19[[#This Row],[تعداد فرزندان]]="","",ج_ح_شهریور19[[#This Row],[کارکرد]]/31*3*ج_ح_شهریور19[[#This Row],[تعداد فرزندان]]*حداقل_حقوق_پایه_روزانه)</f>
        <v/>
      </c>
      <c r="N209" s="46" t="str">
        <f>IF(ج_ح_شهریور19[[#This Row],[کارکرد]]="","",ج_ح_شهریور19[[#This Row],[کارکرد]]*حق_خواربار/30)</f>
        <v/>
      </c>
      <c r="O209" s="46" t="str">
        <f>IFERROR(ج_ح_شهریور19[[#This Row],[حقوق پایه]]+ج_ح_شهریور19[[#This Row],[اضافه کاری]]+ج_ح_شهریور19[[#This Row],[حق مسکن]]+ج_ح_شهریور19[[#This Row],[حق اولاد]]+ج_ح_شهریور19[[#This Row],[حق و خواروبار]],"")</f>
        <v/>
      </c>
      <c r="P209"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09" s="46" t="str">
        <f>IFERROR(ج_ح_شهریور19[[#This Row],[حقوق پایه]]+ج_ح_شهریور19[[#This Row],[اضافه کاری]]-(2/7)*ج_ح_شهریور19[[#This Row],[بیمه پرداختنی]],"")</f>
        <v/>
      </c>
      <c r="R209" s="45"/>
      <c r="S209" s="45"/>
      <c r="T209" s="46" t="str">
        <f>IFERROR(ج_ح_شهریور19[[#This Row],[جمع ح و م م بیمه ]]*7%,"")</f>
        <v/>
      </c>
      <c r="U209"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09" s="46" t="str">
        <f>IFERROR(ج_ح_شهریور19[[#This Row],[وام]]+ج_ح_شهریور19[[#This Row],[مساعده]]+ج_ح_شهریور19[[#This Row],[بیمه پرداختنی]]+ج_ح_شهریور19[[#This Row],[مالیات پرداختنی]],"")</f>
        <v/>
      </c>
      <c r="W209" s="46" t="str">
        <f>IFERROR(ج_ح_شهریور19[[#This Row],[جمع ح و م]]-ج_ح_شهریور19[[#This Row],[جمع کسورات]],"")</f>
        <v/>
      </c>
    </row>
    <row r="210" spans="1:23" s="41" customFormat="1" ht="32.1" customHeight="1">
      <c r="B210" s="41">
        <f t="shared" si="4"/>
        <v>6</v>
      </c>
      <c r="C210" s="42" t="str">
        <f>IF(ج_ح_شهریور19[[#This Row],[نام]]&lt;&gt;"",ROW()-192+1,"")</f>
        <v/>
      </c>
      <c r="D210" s="43"/>
      <c r="E210" s="43"/>
      <c r="F210" s="44"/>
      <c r="G210" s="45"/>
      <c r="H210" s="46" t="str">
        <f>IF(ج_ح_شهریور19[[#This Row],[کارکرد]]*ج_ح_شهریور19[[#This Row],[دستمزد روزانه ]]=0,"",ج_ح_شهریور19[[#This Row],[کارکرد]]*ج_ح_شهریور19[[#This Row],[دستمزد روزانه ]])</f>
        <v/>
      </c>
      <c r="I210" s="47"/>
      <c r="J210" s="48">
        <f>(ج_ح_شهریور19[[#This Row],[دستمزد روزانه ]]/7.33)*1.4*ج_ح_شهریور19[[#This Row],[مدت اضافه کاری ]]</f>
        <v>0</v>
      </c>
      <c r="K210" s="46" t="str">
        <f>IF(ج_ح_شهریور19[[#This Row],[کارکرد]]="","",ج_ح_شهریور19[[#This Row],[کارکرد]]*حق_مسکن/30)</f>
        <v/>
      </c>
      <c r="L210" s="49"/>
      <c r="M210" s="46" t="str">
        <f>IF(ج_ح_شهریور19[[#This Row],[تعداد فرزندان]]="","",ج_ح_شهریور19[[#This Row],[کارکرد]]/31*3*ج_ح_شهریور19[[#This Row],[تعداد فرزندان]]*حداقل_حقوق_پایه_روزانه)</f>
        <v/>
      </c>
      <c r="N210" s="46" t="str">
        <f>IF(ج_ح_شهریور19[[#This Row],[کارکرد]]="","",ج_ح_شهریور19[[#This Row],[کارکرد]]*حق_خواربار/30)</f>
        <v/>
      </c>
      <c r="O210" s="46" t="str">
        <f>IFERROR(ج_ح_شهریور19[[#This Row],[حقوق پایه]]+ج_ح_شهریور19[[#This Row],[اضافه کاری]]+ج_ح_شهریور19[[#This Row],[حق مسکن]]+ج_ح_شهریور19[[#This Row],[حق اولاد]]+ج_ح_شهریور19[[#This Row],[حق و خواروبار]],"")</f>
        <v/>
      </c>
      <c r="P210"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10" s="46" t="str">
        <f>IFERROR(ج_ح_شهریور19[[#This Row],[حقوق پایه]]+ج_ح_شهریور19[[#This Row],[اضافه کاری]]-(2/7)*ج_ح_شهریور19[[#This Row],[بیمه پرداختنی]],"")</f>
        <v/>
      </c>
      <c r="R210" s="45"/>
      <c r="S210" s="45"/>
      <c r="T210" s="46" t="str">
        <f>IFERROR(ج_ح_شهریور19[[#This Row],[جمع ح و م م بیمه ]]*7%,"")</f>
        <v/>
      </c>
      <c r="U210"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10" s="46" t="str">
        <f>IFERROR(ج_ح_شهریور19[[#This Row],[وام]]+ج_ح_شهریور19[[#This Row],[مساعده]]+ج_ح_شهریور19[[#This Row],[بیمه پرداختنی]]+ج_ح_شهریور19[[#This Row],[مالیات پرداختنی]],"")</f>
        <v/>
      </c>
      <c r="W210" s="46" t="str">
        <f>IFERROR(ج_ح_شهریور19[[#This Row],[جمع ح و م]]-ج_ح_شهریور19[[#This Row],[جمع کسورات]],"")</f>
        <v/>
      </c>
    </row>
    <row r="211" spans="1:23" s="41" customFormat="1" ht="32.1" customHeight="1">
      <c r="B211" s="41">
        <f t="shared" si="4"/>
        <v>6</v>
      </c>
      <c r="C211" s="42" t="str">
        <f>IF(ج_ح_شهریور19[[#This Row],[نام]]&lt;&gt;"",ROW()-192+1,"")</f>
        <v/>
      </c>
      <c r="D211" s="43"/>
      <c r="E211" s="43"/>
      <c r="F211" s="44"/>
      <c r="G211" s="45"/>
      <c r="H211" s="46" t="str">
        <f>IF(ج_ح_شهریور19[[#This Row],[کارکرد]]*ج_ح_شهریور19[[#This Row],[دستمزد روزانه ]]=0,"",ج_ح_شهریور19[[#This Row],[کارکرد]]*ج_ح_شهریور19[[#This Row],[دستمزد روزانه ]])</f>
        <v/>
      </c>
      <c r="I211" s="47"/>
      <c r="J211" s="48">
        <f>(ج_ح_شهریور19[[#This Row],[دستمزد روزانه ]]/7.33)*1.4*ج_ح_شهریور19[[#This Row],[مدت اضافه کاری ]]</f>
        <v>0</v>
      </c>
      <c r="K211" s="46" t="str">
        <f>IF(ج_ح_شهریور19[[#This Row],[کارکرد]]="","",ج_ح_شهریور19[[#This Row],[کارکرد]]*حق_مسکن/30)</f>
        <v/>
      </c>
      <c r="L211" s="49"/>
      <c r="M211" s="46" t="str">
        <f>IF(ج_ح_شهریور19[[#This Row],[تعداد فرزندان]]="","",ج_ح_شهریور19[[#This Row],[کارکرد]]/31*3*ج_ح_شهریور19[[#This Row],[تعداد فرزندان]]*حداقل_حقوق_پایه_روزانه)</f>
        <v/>
      </c>
      <c r="N211" s="46" t="str">
        <f>IF(ج_ح_شهریور19[[#This Row],[کارکرد]]="","",ج_ح_شهریور19[[#This Row],[کارکرد]]*حق_خواربار/30)</f>
        <v/>
      </c>
      <c r="O211" s="46" t="str">
        <f>IFERROR(ج_ح_شهریور19[[#This Row],[حقوق پایه]]+ج_ح_شهریور19[[#This Row],[اضافه کاری]]+ج_ح_شهریور19[[#This Row],[حق مسکن]]+ج_ح_شهریور19[[#This Row],[حق اولاد]]+ج_ح_شهریور19[[#This Row],[حق و خواروبار]],"")</f>
        <v/>
      </c>
      <c r="P211"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11" s="46" t="str">
        <f>IFERROR(ج_ح_شهریور19[[#This Row],[حقوق پایه]]+ج_ح_شهریور19[[#This Row],[اضافه کاری]]-(2/7)*ج_ح_شهریور19[[#This Row],[بیمه پرداختنی]],"")</f>
        <v/>
      </c>
      <c r="R211" s="45"/>
      <c r="S211" s="45"/>
      <c r="T211" s="46" t="str">
        <f>IFERROR(ج_ح_شهریور19[[#This Row],[جمع ح و م م بیمه ]]*7%,"")</f>
        <v/>
      </c>
      <c r="U211"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11" s="46" t="str">
        <f>IFERROR(ج_ح_شهریور19[[#This Row],[وام]]+ج_ح_شهریور19[[#This Row],[مساعده]]+ج_ح_شهریور19[[#This Row],[بیمه پرداختنی]]+ج_ح_شهریور19[[#This Row],[مالیات پرداختنی]],"")</f>
        <v/>
      </c>
      <c r="W211" s="46" t="str">
        <f>IFERROR(ج_ح_شهریور19[[#This Row],[جمع ح و م]]-ج_ح_شهریور19[[#This Row],[جمع کسورات]],"")</f>
        <v/>
      </c>
    </row>
    <row r="212" spans="1:23" s="41" customFormat="1" ht="32.1" customHeight="1">
      <c r="B212" s="41">
        <f t="shared" si="4"/>
        <v>6</v>
      </c>
      <c r="C212" s="42" t="str">
        <f>IF(ج_ح_شهریور19[[#This Row],[نام]]&lt;&gt;"",ROW()-192+1,"")</f>
        <v/>
      </c>
      <c r="D212" s="43"/>
      <c r="E212" s="43"/>
      <c r="F212" s="44"/>
      <c r="G212" s="45"/>
      <c r="H212" s="46" t="str">
        <f>IF(ج_ح_شهریور19[[#This Row],[کارکرد]]*ج_ح_شهریور19[[#This Row],[دستمزد روزانه ]]=0,"",ج_ح_شهریور19[[#This Row],[کارکرد]]*ج_ح_شهریور19[[#This Row],[دستمزد روزانه ]])</f>
        <v/>
      </c>
      <c r="I212" s="47"/>
      <c r="J212" s="48">
        <f>(ج_ح_شهریور19[[#This Row],[دستمزد روزانه ]]/7.33)*1.4*ج_ح_شهریور19[[#This Row],[مدت اضافه کاری ]]</f>
        <v>0</v>
      </c>
      <c r="K212" s="46" t="str">
        <f>IF(ج_ح_شهریور19[[#This Row],[کارکرد]]="","",ج_ح_شهریور19[[#This Row],[کارکرد]]*حق_مسکن/30)</f>
        <v/>
      </c>
      <c r="L212" s="49"/>
      <c r="M212" s="46" t="str">
        <f>IF(ج_ح_شهریور19[[#This Row],[تعداد فرزندان]]="","",ج_ح_شهریور19[[#This Row],[کارکرد]]/31*3*ج_ح_شهریور19[[#This Row],[تعداد فرزندان]]*حداقل_حقوق_پایه_روزانه)</f>
        <v/>
      </c>
      <c r="N212" s="46" t="str">
        <f>IF(ج_ح_شهریور19[[#This Row],[کارکرد]]="","",ج_ح_شهریور19[[#This Row],[کارکرد]]*حق_خواربار/30)</f>
        <v/>
      </c>
      <c r="O212" s="46" t="str">
        <f>IFERROR(ج_ح_شهریور19[[#This Row],[حقوق پایه]]+ج_ح_شهریور19[[#This Row],[اضافه کاری]]+ج_ح_شهریور19[[#This Row],[حق مسکن]]+ج_ح_شهریور19[[#This Row],[حق اولاد]]+ج_ح_شهریور19[[#This Row],[حق و خواروبار]],"")</f>
        <v/>
      </c>
      <c r="P212"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12" s="46" t="str">
        <f>IFERROR(ج_ح_شهریور19[[#This Row],[حقوق پایه]]+ج_ح_شهریور19[[#This Row],[اضافه کاری]]-(2/7)*ج_ح_شهریور19[[#This Row],[بیمه پرداختنی]],"")</f>
        <v/>
      </c>
      <c r="R212" s="45"/>
      <c r="S212" s="45"/>
      <c r="T212" s="46" t="str">
        <f>IFERROR(ج_ح_شهریور19[[#This Row],[جمع ح و م م بیمه ]]*7%,"")</f>
        <v/>
      </c>
      <c r="U212"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12" s="46" t="str">
        <f>IFERROR(ج_ح_شهریور19[[#This Row],[وام]]+ج_ح_شهریور19[[#This Row],[مساعده]]+ج_ح_شهریور19[[#This Row],[بیمه پرداختنی]]+ج_ح_شهریور19[[#This Row],[مالیات پرداختنی]],"")</f>
        <v/>
      </c>
      <c r="W212" s="46" t="str">
        <f>IFERROR(ج_ح_شهریور19[[#This Row],[جمع ح و م]]-ج_ح_شهریور19[[#This Row],[جمع کسورات]],"")</f>
        <v/>
      </c>
    </row>
    <row r="213" spans="1:23" s="41" customFormat="1" ht="32.1" customHeight="1">
      <c r="B213" s="41">
        <f t="shared" si="4"/>
        <v>6</v>
      </c>
      <c r="C213" s="42" t="str">
        <f>IF(ج_ح_شهریور19[[#This Row],[نام]]&lt;&gt;"",ROW()-192+1,"")</f>
        <v/>
      </c>
      <c r="D213" s="43"/>
      <c r="E213" s="43"/>
      <c r="F213" s="44"/>
      <c r="G213" s="45"/>
      <c r="H213" s="46" t="str">
        <f>IF(ج_ح_شهریور19[[#This Row],[کارکرد]]*ج_ح_شهریور19[[#This Row],[دستمزد روزانه ]]=0,"",ج_ح_شهریور19[[#This Row],[کارکرد]]*ج_ح_شهریور19[[#This Row],[دستمزد روزانه ]])</f>
        <v/>
      </c>
      <c r="I213" s="47"/>
      <c r="J213" s="48">
        <f>(ج_ح_شهریور19[[#This Row],[دستمزد روزانه ]]/7.33)*1.4*ج_ح_شهریور19[[#This Row],[مدت اضافه کاری ]]</f>
        <v>0</v>
      </c>
      <c r="K213" s="46" t="str">
        <f>IF(ج_ح_شهریور19[[#This Row],[کارکرد]]="","",ج_ح_شهریور19[[#This Row],[کارکرد]]*حق_مسکن/30)</f>
        <v/>
      </c>
      <c r="L213" s="49"/>
      <c r="M213" s="46" t="str">
        <f>IF(ج_ح_شهریور19[[#This Row],[تعداد فرزندان]]="","",ج_ح_شهریور19[[#This Row],[کارکرد]]/31*3*ج_ح_شهریور19[[#This Row],[تعداد فرزندان]]*حداقل_حقوق_پایه_روزانه)</f>
        <v/>
      </c>
      <c r="N213" s="46" t="str">
        <f>IF(ج_ح_شهریور19[[#This Row],[کارکرد]]="","",ج_ح_شهریور19[[#This Row],[کارکرد]]*حق_خواربار/30)</f>
        <v/>
      </c>
      <c r="O213" s="46" t="str">
        <f>IFERROR(ج_ح_شهریور19[[#This Row],[حقوق پایه]]+ج_ح_شهریور19[[#This Row],[اضافه کاری]]+ج_ح_شهریور19[[#This Row],[حق مسکن]]+ج_ح_شهریور19[[#This Row],[حق اولاد]]+ج_ح_شهریور19[[#This Row],[حق و خواروبار]],"")</f>
        <v/>
      </c>
      <c r="P213"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13" s="46" t="str">
        <f>IFERROR(ج_ح_شهریور19[[#This Row],[حقوق پایه]]+ج_ح_شهریور19[[#This Row],[اضافه کاری]]-(2/7)*ج_ح_شهریور19[[#This Row],[بیمه پرداختنی]],"")</f>
        <v/>
      </c>
      <c r="R213" s="45"/>
      <c r="S213" s="45"/>
      <c r="T213" s="46" t="str">
        <f>IFERROR(ج_ح_شهریور19[[#This Row],[جمع ح و م م بیمه ]]*7%,"")</f>
        <v/>
      </c>
      <c r="U213"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13" s="46" t="str">
        <f>IFERROR(ج_ح_شهریور19[[#This Row],[وام]]+ج_ح_شهریور19[[#This Row],[مساعده]]+ج_ح_شهریور19[[#This Row],[بیمه پرداختنی]]+ج_ح_شهریور19[[#This Row],[مالیات پرداختنی]],"")</f>
        <v/>
      </c>
      <c r="W213" s="46" t="str">
        <f>IFERROR(ج_ح_شهریور19[[#This Row],[جمع ح و م]]-ج_ح_شهریور19[[#This Row],[جمع کسورات]],"")</f>
        <v/>
      </c>
    </row>
    <row r="214" spans="1:23" s="41" customFormat="1" ht="32.1" customHeight="1">
      <c r="B214" s="41">
        <f t="shared" si="4"/>
        <v>6</v>
      </c>
      <c r="C214" s="42" t="str">
        <f>IF(ج_ح_شهریور19[[#This Row],[نام]]&lt;&gt;"",ROW()-192+1,"")</f>
        <v/>
      </c>
      <c r="D214" s="43"/>
      <c r="E214" s="43"/>
      <c r="F214" s="44"/>
      <c r="G214" s="45"/>
      <c r="H214" s="46" t="str">
        <f>IF(ج_ح_شهریور19[[#This Row],[کارکرد]]*ج_ح_شهریور19[[#This Row],[دستمزد روزانه ]]=0,"",ج_ح_شهریور19[[#This Row],[کارکرد]]*ج_ح_شهریور19[[#This Row],[دستمزد روزانه ]])</f>
        <v/>
      </c>
      <c r="I214" s="47"/>
      <c r="J214" s="48">
        <f>(ج_ح_شهریور19[[#This Row],[دستمزد روزانه ]]/7.33)*1.4*ج_ح_شهریور19[[#This Row],[مدت اضافه کاری ]]</f>
        <v>0</v>
      </c>
      <c r="K214" s="46" t="str">
        <f>IF(ج_ح_شهریور19[[#This Row],[کارکرد]]="","",ج_ح_شهریور19[[#This Row],[کارکرد]]*حق_مسکن/30)</f>
        <v/>
      </c>
      <c r="L214" s="49"/>
      <c r="M214" s="46" t="str">
        <f>IF(ج_ح_شهریور19[[#This Row],[تعداد فرزندان]]="","",ج_ح_شهریور19[[#This Row],[کارکرد]]/31*3*ج_ح_شهریور19[[#This Row],[تعداد فرزندان]]*حداقل_حقوق_پایه_روزانه)</f>
        <v/>
      </c>
      <c r="N214" s="46" t="str">
        <f>IF(ج_ح_شهریور19[[#This Row],[کارکرد]]="","",ج_ح_شهریور19[[#This Row],[کارکرد]]*حق_خواربار/30)</f>
        <v/>
      </c>
      <c r="O214" s="46" t="str">
        <f>IFERROR(ج_ح_شهریور19[[#This Row],[حقوق پایه]]+ج_ح_شهریور19[[#This Row],[اضافه کاری]]+ج_ح_شهریور19[[#This Row],[حق مسکن]]+ج_ح_شهریور19[[#This Row],[حق اولاد]]+ج_ح_شهریور19[[#This Row],[حق و خواروبار]],"")</f>
        <v/>
      </c>
      <c r="P214"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14" s="46" t="str">
        <f>IFERROR(ج_ح_شهریور19[[#This Row],[حقوق پایه]]+ج_ح_شهریور19[[#This Row],[اضافه کاری]]-(2/7)*ج_ح_شهریور19[[#This Row],[بیمه پرداختنی]],"")</f>
        <v/>
      </c>
      <c r="R214" s="45"/>
      <c r="S214" s="45"/>
      <c r="T214" s="46" t="str">
        <f>IFERROR(ج_ح_شهریور19[[#This Row],[جمع ح و م م بیمه ]]*7%,"")</f>
        <v/>
      </c>
      <c r="U214"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14" s="46" t="str">
        <f>IFERROR(ج_ح_شهریور19[[#This Row],[وام]]+ج_ح_شهریور19[[#This Row],[مساعده]]+ج_ح_شهریور19[[#This Row],[بیمه پرداختنی]]+ج_ح_شهریور19[[#This Row],[مالیات پرداختنی]],"")</f>
        <v/>
      </c>
      <c r="W214" s="46" t="str">
        <f>IFERROR(ج_ح_شهریور19[[#This Row],[جمع ح و م]]-ج_ح_شهریور19[[#This Row],[جمع کسورات]],"")</f>
        <v/>
      </c>
    </row>
    <row r="215" spans="1:23" s="41" customFormat="1" ht="32.1" customHeight="1">
      <c r="B215" s="41">
        <f t="shared" si="4"/>
        <v>6</v>
      </c>
      <c r="C215" s="42" t="str">
        <f>IF(ج_ح_شهریور19[[#This Row],[نام]]&lt;&gt;"",ROW()-192+1,"")</f>
        <v/>
      </c>
      <c r="D215" s="43"/>
      <c r="E215" s="43"/>
      <c r="F215" s="44"/>
      <c r="G215" s="45"/>
      <c r="H215" s="46" t="str">
        <f>IF(ج_ح_شهریور19[[#This Row],[کارکرد]]*ج_ح_شهریور19[[#This Row],[دستمزد روزانه ]]=0,"",ج_ح_شهریور19[[#This Row],[کارکرد]]*ج_ح_شهریور19[[#This Row],[دستمزد روزانه ]])</f>
        <v/>
      </c>
      <c r="I215" s="47"/>
      <c r="J215" s="48">
        <f>(ج_ح_شهریور19[[#This Row],[دستمزد روزانه ]]/7.33)*1.4*ج_ح_شهریور19[[#This Row],[مدت اضافه کاری ]]</f>
        <v>0</v>
      </c>
      <c r="K215" s="46" t="str">
        <f>IF(ج_ح_شهریور19[[#This Row],[کارکرد]]="","",ج_ح_شهریور19[[#This Row],[کارکرد]]*حق_مسکن/30)</f>
        <v/>
      </c>
      <c r="L215" s="49"/>
      <c r="M215" s="46" t="str">
        <f>IF(ج_ح_شهریور19[[#This Row],[تعداد فرزندان]]="","",ج_ح_شهریور19[[#This Row],[کارکرد]]/31*3*ج_ح_شهریور19[[#This Row],[تعداد فرزندان]]*حداقل_حقوق_پایه_روزانه)</f>
        <v/>
      </c>
      <c r="N215" s="46" t="str">
        <f>IF(ج_ح_شهریور19[[#This Row],[کارکرد]]="","",ج_ح_شهریور19[[#This Row],[کارکرد]]*حق_خواربار/30)</f>
        <v/>
      </c>
      <c r="O215" s="46" t="str">
        <f>IFERROR(ج_ح_شهریور19[[#This Row],[حقوق پایه]]+ج_ح_شهریور19[[#This Row],[اضافه کاری]]+ج_ح_شهریور19[[#This Row],[حق مسکن]]+ج_ح_شهریور19[[#This Row],[حق اولاد]]+ج_ح_شهریور19[[#This Row],[حق و خواروبار]],"")</f>
        <v/>
      </c>
      <c r="P215"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15" s="46" t="str">
        <f>IFERROR(ج_ح_شهریور19[[#This Row],[حقوق پایه]]+ج_ح_شهریور19[[#This Row],[اضافه کاری]]-(2/7)*ج_ح_شهریور19[[#This Row],[بیمه پرداختنی]],"")</f>
        <v/>
      </c>
      <c r="R215" s="45"/>
      <c r="S215" s="45"/>
      <c r="T215" s="46" t="str">
        <f>IFERROR(ج_ح_شهریور19[[#This Row],[جمع ح و م م بیمه ]]*7%,"")</f>
        <v/>
      </c>
      <c r="U215"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15" s="46" t="str">
        <f>IFERROR(ج_ح_شهریور19[[#This Row],[وام]]+ج_ح_شهریور19[[#This Row],[مساعده]]+ج_ح_شهریور19[[#This Row],[بیمه پرداختنی]]+ج_ح_شهریور19[[#This Row],[مالیات پرداختنی]],"")</f>
        <v/>
      </c>
      <c r="W215" s="46" t="str">
        <f>IFERROR(ج_ح_شهریور19[[#This Row],[جمع ح و م]]-ج_ح_شهریور19[[#This Row],[جمع کسورات]],"")</f>
        <v/>
      </c>
    </row>
    <row r="216" spans="1:23" s="41" customFormat="1" ht="32.1" customHeight="1">
      <c r="B216" s="41">
        <f t="shared" si="4"/>
        <v>6</v>
      </c>
      <c r="C216" s="42" t="str">
        <f>IF(ج_ح_شهریور19[[#This Row],[نام]]&lt;&gt;"",ROW()-192+1,"")</f>
        <v/>
      </c>
      <c r="D216" s="43"/>
      <c r="E216" s="43"/>
      <c r="F216" s="44"/>
      <c r="G216" s="45"/>
      <c r="H216" s="46" t="str">
        <f>IF(ج_ح_شهریور19[[#This Row],[کارکرد]]*ج_ح_شهریور19[[#This Row],[دستمزد روزانه ]]=0,"",ج_ح_شهریور19[[#This Row],[کارکرد]]*ج_ح_شهریور19[[#This Row],[دستمزد روزانه ]])</f>
        <v/>
      </c>
      <c r="I216" s="47"/>
      <c r="J216" s="48">
        <f>(ج_ح_شهریور19[[#This Row],[دستمزد روزانه ]]/7.33)*1.4*ج_ح_شهریور19[[#This Row],[مدت اضافه کاری ]]</f>
        <v>0</v>
      </c>
      <c r="K216" s="46" t="str">
        <f>IF(ج_ح_شهریور19[[#This Row],[کارکرد]]="","",ج_ح_شهریور19[[#This Row],[کارکرد]]*حق_مسکن/30)</f>
        <v/>
      </c>
      <c r="L216" s="49"/>
      <c r="M216" s="46" t="str">
        <f>IF(ج_ح_شهریور19[[#This Row],[تعداد فرزندان]]="","",ج_ح_شهریور19[[#This Row],[کارکرد]]/31*3*ج_ح_شهریور19[[#This Row],[تعداد فرزندان]]*حداقل_حقوق_پایه_روزانه)</f>
        <v/>
      </c>
      <c r="N216" s="46" t="str">
        <f>IF(ج_ح_شهریور19[[#This Row],[کارکرد]]="","",ج_ح_شهریور19[[#This Row],[کارکرد]]*حق_خواربار/30)</f>
        <v/>
      </c>
      <c r="O216" s="46" t="str">
        <f>IFERROR(ج_ح_شهریور19[[#This Row],[حقوق پایه]]+ج_ح_شهریور19[[#This Row],[اضافه کاری]]+ج_ح_شهریور19[[#This Row],[حق مسکن]]+ج_ح_شهریور19[[#This Row],[حق اولاد]]+ج_ح_شهریور19[[#This Row],[حق و خواروبار]],"")</f>
        <v/>
      </c>
      <c r="P216"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16" s="46" t="str">
        <f>IFERROR(ج_ح_شهریور19[[#This Row],[حقوق پایه]]+ج_ح_شهریور19[[#This Row],[اضافه کاری]]-(2/7)*ج_ح_شهریور19[[#This Row],[بیمه پرداختنی]],"")</f>
        <v/>
      </c>
      <c r="R216" s="45"/>
      <c r="S216" s="45"/>
      <c r="T216" s="46" t="str">
        <f>IFERROR(ج_ح_شهریور19[[#This Row],[جمع ح و م م بیمه ]]*7%,"")</f>
        <v/>
      </c>
      <c r="U216"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16" s="46" t="str">
        <f>IFERROR(ج_ح_شهریور19[[#This Row],[وام]]+ج_ح_شهریور19[[#This Row],[مساعده]]+ج_ح_شهریور19[[#This Row],[بیمه پرداختنی]]+ج_ح_شهریور19[[#This Row],[مالیات پرداختنی]],"")</f>
        <v/>
      </c>
      <c r="W216" s="46" t="str">
        <f>IFERROR(ج_ح_شهریور19[[#This Row],[جمع ح و م]]-ج_ح_شهریور19[[#This Row],[جمع کسورات]],"")</f>
        <v/>
      </c>
    </row>
    <row r="217" spans="1:23" s="41" customFormat="1" ht="32.1" customHeight="1">
      <c r="B217" s="41">
        <f t="shared" si="4"/>
        <v>6</v>
      </c>
      <c r="C217" s="42" t="str">
        <f>IF(ج_ح_شهریور19[[#This Row],[نام]]&lt;&gt;"",ROW()-192+1,"")</f>
        <v/>
      </c>
      <c r="D217" s="43"/>
      <c r="E217" s="43"/>
      <c r="F217" s="44"/>
      <c r="G217" s="45"/>
      <c r="H217" s="46" t="str">
        <f>IF(ج_ح_شهریور19[[#This Row],[کارکرد]]*ج_ح_شهریور19[[#This Row],[دستمزد روزانه ]]=0,"",ج_ح_شهریور19[[#This Row],[کارکرد]]*ج_ح_شهریور19[[#This Row],[دستمزد روزانه ]])</f>
        <v/>
      </c>
      <c r="I217" s="47"/>
      <c r="J217" s="48">
        <f>(ج_ح_شهریور19[[#This Row],[دستمزد روزانه ]]/7.33)*1.4*ج_ح_شهریور19[[#This Row],[مدت اضافه کاری ]]</f>
        <v>0</v>
      </c>
      <c r="K217" s="46" t="str">
        <f>IF(ج_ح_شهریور19[[#This Row],[کارکرد]]="","",ج_ح_شهریور19[[#This Row],[کارکرد]]*حق_مسکن/30)</f>
        <v/>
      </c>
      <c r="L217" s="49"/>
      <c r="M217" s="46" t="str">
        <f>IF(ج_ح_شهریور19[[#This Row],[تعداد فرزندان]]="","",ج_ح_شهریور19[[#This Row],[کارکرد]]/31*3*ج_ح_شهریور19[[#This Row],[تعداد فرزندان]]*حداقل_حقوق_پایه_روزانه)</f>
        <v/>
      </c>
      <c r="N217" s="46" t="str">
        <f>IF(ج_ح_شهریور19[[#This Row],[کارکرد]]="","",ج_ح_شهریور19[[#This Row],[کارکرد]]*حق_خواربار/30)</f>
        <v/>
      </c>
      <c r="O217" s="46" t="str">
        <f>IFERROR(ج_ح_شهریور19[[#This Row],[حقوق پایه]]+ج_ح_شهریور19[[#This Row],[اضافه کاری]]+ج_ح_شهریور19[[#This Row],[حق مسکن]]+ج_ح_شهریور19[[#This Row],[حق اولاد]]+ج_ح_شهریور19[[#This Row],[حق و خواروبار]],"")</f>
        <v/>
      </c>
      <c r="P217"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17" s="46" t="str">
        <f>IFERROR(ج_ح_شهریور19[[#This Row],[حقوق پایه]]+ج_ح_شهریور19[[#This Row],[اضافه کاری]]-(2/7)*ج_ح_شهریور19[[#This Row],[بیمه پرداختنی]],"")</f>
        <v/>
      </c>
      <c r="R217" s="45"/>
      <c r="S217" s="45"/>
      <c r="T217" s="46" t="str">
        <f>IFERROR(ج_ح_شهریور19[[#This Row],[جمع ح و م م بیمه ]]*7%,"")</f>
        <v/>
      </c>
      <c r="U217"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17" s="46" t="str">
        <f>IFERROR(ج_ح_شهریور19[[#This Row],[وام]]+ج_ح_شهریور19[[#This Row],[مساعده]]+ج_ح_شهریور19[[#This Row],[بیمه پرداختنی]]+ج_ح_شهریور19[[#This Row],[مالیات پرداختنی]],"")</f>
        <v/>
      </c>
      <c r="W217" s="46" t="str">
        <f>IFERROR(ج_ح_شهریور19[[#This Row],[جمع ح و م]]-ج_ح_شهریور19[[#This Row],[جمع کسورات]],"")</f>
        <v/>
      </c>
    </row>
    <row r="218" spans="1:23" s="41" customFormat="1" ht="32.1" customHeight="1">
      <c r="B218" s="41">
        <f t="shared" si="4"/>
        <v>6</v>
      </c>
      <c r="C218" s="42" t="str">
        <f>IF(ج_ح_شهریور19[[#This Row],[نام]]&lt;&gt;"",ROW()-192+1,"")</f>
        <v/>
      </c>
      <c r="D218" s="43"/>
      <c r="E218" s="43"/>
      <c r="F218" s="44"/>
      <c r="G218" s="45"/>
      <c r="H218" s="46" t="str">
        <f>IF(ج_ح_شهریور19[[#This Row],[کارکرد]]*ج_ح_شهریور19[[#This Row],[دستمزد روزانه ]]=0,"",ج_ح_شهریور19[[#This Row],[کارکرد]]*ج_ح_شهریور19[[#This Row],[دستمزد روزانه ]])</f>
        <v/>
      </c>
      <c r="I218" s="47"/>
      <c r="J218" s="48">
        <f>(ج_ح_شهریور19[[#This Row],[دستمزد روزانه ]]/7.33)*1.4*ج_ح_شهریور19[[#This Row],[مدت اضافه کاری ]]</f>
        <v>0</v>
      </c>
      <c r="K218" s="46" t="str">
        <f>IF(ج_ح_شهریور19[[#This Row],[کارکرد]]="","",ج_ح_شهریور19[[#This Row],[کارکرد]]*حق_مسکن/30)</f>
        <v/>
      </c>
      <c r="L218" s="49"/>
      <c r="M218" s="46" t="str">
        <f>IF(ج_ح_شهریور19[[#This Row],[تعداد فرزندان]]="","",ج_ح_شهریور19[[#This Row],[کارکرد]]/31*3*ج_ح_شهریور19[[#This Row],[تعداد فرزندان]]*حداقل_حقوق_پایه_روزانه)</f>
        <v/>
      </c>
      <c r="N218" s="46" t="str">
        <f>IF(ج_ح_شهریور19[[#This Row],[کارکرد]]="","",ج_ح_شهریور19[[#This Row],[کارکرد]]*حق_خواربار/30)</f>
        <v/>
      </c>
      <c r="O218" s="46" t="str">
        <f>IFERROR(ج_ح_شهریور19[[#This Row],[حقوق پایه]]+ج_ح_شهریور19[[#This Row],[اضافه کاری]]+ج_ح_شهریور19[[#This Row],[حق مسکن]]+ج_ح_شهریور19[[#This Row],[حق اولاد]]+ج_ح_شهریور19[[#This Row],[حق و خواروبار]],"")</f>
        <v/>
      </c>
      <c r="P218"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18" s="46" t="str">
        <f>IFERROR(ج_ح_شهریور19[[#This Row],[حقوق پایه]]+ج_ح_شهریور19[[#This Row],[اضافه کاری]]-(2/7)*ج_ح_شهریور19[[#This Row],[بیمه پرداختنی]],"")</f>
        <v/>
      </c>
      <c r="R218" s="45"/>
      <c r="S218" s="45"/>
      <c r="T218" s="46" t="str">
        <f>IFERROR(ج_ح_شهریور19[[#This Row],[جمع ح و م م بیمه ]]*7%,"")</f>
        <v/>
      </c>
      <c r="U218"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18" s="46" t="str">
        <f>IFERROR(ج_ح_شهریور19[[#This Row],[وام]]+ج_ح_شهریور19[[#This Row],[مساعده]]+ج_ح_شهریور19[[#This Row],[بیمه پرداختنی]]+ج_ح_شهریور19[[#This Row],[مالیات پرداختنی]],"")</f>
        <v/>
      </c>
      <c r="W218" s="46" t="str">
        <f>IFERROR(ج_ح_شهریور19[[#This Row],[جمع ح و م]]-ج_ح_شهریور19[[#This Row],[جمع کسورات]],"")</f>
        <v/>
      </c>
    </row>
    <row r="219" spans="1:23" s="41" customFormat="1" ht="32.1" customHeight="1">
      <c r="B219" s="41">
        <f t="shared" si="4"/>
        <v>6</v>
      </c>
      <c r="C219" s="42" t="str">
        <f>IF(ج_ح_شهریور19[[#This Row],[نام]]&lt;&gt;"",ROW()-192+1,"")</f>
        <v/>
      </c>
      <c r="D219" s="43"/>
      <c r="E219" s="43"/>
      <c r="F219" s="44"/>
      <c r="G219" s="45"/>
      <c r="H219" s="46" t="str">
        <f>IF(ج_ح_شهریور19[[#This Row],[کارکرد]]*ج_ح_شهریور19[[#This Row],[دستمزد روزانه ]]=0,"",ج_ح_شهریور19[[#This Row],[کارکرد]]*ج_ح_شهریور19[[#This Row],[دستمزد روزانه ]])</f>
        <v/>
      </c>
      <c r="I219" s="47"/>
      <c r="J219" s="48">
        <f>(ج_ح_شهریور19[[#This Row],[دستمزد روزانه ]]/7.33)*1.4*ج_ح_شهریور19[[#This Row],[مدت اضافه کاری ]]</f>
        <v>0</v>
      </c>
      <c r="K219" s="46" t="str">
        <f>IF(ج_ح_شهریور19[[#This Row],[کارکرد]]="","",ج_ح_شهریور19[[#This Row],[کارکرد]]*حق_مسکن/30)</f>
        <v/>
      </c>
      <c r="L219" s="49"/>
      <c r="M219" s="46" t="str">
        <f>IF(ج_ح_شهریور19[[#This Row],[تعداد فرزندان]]="","",ج_ح_شهریور19[[#This Row],[کارکرد]]/31*3*ج_ح_شهریور19[[#This Row],[تعداد فرزندان]]*حداقل_حقوق_پایه_روزانه)</f>
        <v/>
      </c>
      <c r="N219" s="46" t="str">
        <f>IF(ج_ح_شهریور19[[#This Row],[کارکرد]]="","",ج_ح_شهریور19[[#This Row],[کارکرد]]*حق_خواربار/30)</f>
        <v/>
      </c>
      <c r="O219" s="46" t="str">
        <f>IFERROR(ج_ح_شهریور19[[#This Row],[حقوق پایه]]+ج_ح_شهریور19[[#This Row],[اضافه کاری]]+ج_ح_شهریور19[[#This Row],[حق مسکن]]+ج_ح_شهریور19[[#This Row],[حق اولاد]]+ج_ح_شهریور19[[#This Row],[حق و خواروبار]],"")</f>
        <v/>
      </c>
      <c r="P219"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19" s="46" t="str">
        <f>IFERROR(ج_ح_شهریور19[[#This Row],[حقوق پایه]]+ج_ح_شهریور19[[#This Row],[اضافه کاری]]-(2/7)*ج_ح_شهریور19[[#This Row],[بیمه پرداختنی]],"")</f>
        <v/>
      </c>
      <c r="R219" s="45"/>
      <c r="S219" s="45"/>
      <c r="T219" s="46" t="str">
        <f>IFERROR(ج_ح_شهریور19[[#This Row],[جمع ح و م م بیمه ]]*7%,"")</f>
        <v/>
      </c>
      <c r="U219"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19" s="46" t="str">
        <f>IFERROR(ج_ح_شهریور19[[#This Row],[وام]]+ج_ح_شهریور19[[#This Row],[مساعده]]+ج_ح_شهریور19[[#This Row],[بیمه پرداختنی]]+ج_ح_شهریور19[[#This Row],[مالیات پرداختنی]],"")</f>
        <v/>
      </c>
      <c r="W219" s="46" t="str">
        <f>IFERROR(ج_ح_شهریور19[[#This Row],[جمع ح و م]]-ج_ح_شهریور19[[#This Row],[جمع کسورات]],"")</f>
        <v/>
      </c>
    </row>
    <row r="220" spans="1:23" s="41" customFormat="1" ht="32.1" customHeight="1">
      <c r="B220" s="41">
        <f t="shared" si="4"/>
        <v>6</v>
      </c>
      <c r="C220" s="42" t="str">
        <f>IF(ج_ح_شهریور19[[#This Row],[نام]]&lt;&gt;"",ROW()-192+1,"")</f>
        <v/>
      </c>
      <c r="D220" s="43"/>
      <c r="E220" s="43"/>
      <c r="F220" s="44"/>
      <c r="G220" s="45"/>
      <c r="H220" s="46" t="str">
        <f>IF(ج_ح_شهریور19[[#This Row],[کارکرد]]*ج_ح_شهریور19[[#This Row],[دستمزد روزانه ]]=0,"",ج_ح_شهریور19[[#This Row],[کارکرد]]*ج_ح_شهریور19[[#This Row],[دستمزد روزانه ]])</f>
        <v/>
      </c>
      <c r="I220" s="47"/>
      <c r="J220" s="48">
        <f>(ج_ح_شهریور19[[#This Row],[دستمزد روزانه ]]/7.33)*1.4*ج_ح_شهریور19[[#This Row],[مدت اضافه کاری ]]</f>
        <v>0</v>
      </c>
      <c r="K220" s="46" t="str">
        <f>IF(ج_ح_شهریور19[[#This Row],[کارکرد]]="","",ج_ح_شهریور19[[#This Row],[کارکرد]]*حق_مسکن/30)</f>
        <v/>
      </c>
      <c r="L220" s="49"/>
      <c r="M220" s="46" t="str">
        <f>IF(ج_ح_شهریور19[[#This Row],[تعداد فرزندان]]="","",ج_ح_شهریور19[[#This Row],[کارکرد]]/31*3*ج_ح_شهریور19[[#This Row],[تعداد فرزندان]]*حداقل_حقوق_پایه_روزانه)</f>
        <v/>
      </c>
      <c r="N220" s="46" t="str">
        <f>IF(ج_ح_شهریور19[[#This Row],[کارکرد]]="","",ج_ح_شهریور19[[#This Row],[کارکرد]]*حق_خواربار/30)</f>
        <v/>
      </c>
      <c r="O220" s="46" t="str">
        <f>IFERROR(ج_ح_شهریور19[[#This Row],[حقوق پایه]]+ج_ح_شهریور19[[#This Row],[اضافه کاری]]+ج_ح_شهریور19[[#This Row],[حق مسکن]]+ج_ح_شهریور19[[#This Row],[حق اولاد]]+ج_ح_شهریور19[[#This Row],[حق و خواروبار]],"")</f>
        <v/>
      </c>
      <c r="P220"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20" s="46" t="str">
        <f>IFERROR(ج_ح_شهریور19[[#This Row],[حقوق پایه]]+ج_ح_شهریور19[[#This Row],[اضافه کاری]]-(2/7)*ج_ح_شهریور19[[#This Row],[بیمه پرداختنی]],"")</f>
        <v/>
      </c>
      <c r="R220" s="45"/>
      <c r="S220" s="45"/>
      <c r="T220" s="46" t="str">
        <f>IFERROR(ج_ح_شهریور19[[#This Row],[جمع ح و م م بیمه ]]*7%,"")</f>
        <v/>
      </c>
      <c r="U220"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20" s="46" t="str">
        <f>IFERROR(ج_ح_شهریور19[[#This Row],[وام]]+ج_ح_شهریور19[[#This Row],[مساعده]]+ج_ح_شهریور19[[#This Row],[بیمه پرداختنی]]+ج_ح_شهریور19[[#This Row],[مالیات پرداختنی]],"")</f>
        <v/>
      </c>
      <c r="W220" s="46" t="str">
        <f>IFERROR(ج_ح_شهریور19[[#This Row],[جمع ح و م]]-ج_ح_شهریور19[[#This Row],[جمع کسورات]],"")</f>
        <v/>
      </c>
    </row>
    <row r="221" spans="1:23" s="41" customFormat="1" ht="32.1" customHeight="1">
      <c r="B221" s="41">
        <f t="shared" si="4"/>
        <v>6</v>
      </c>
      <c r="C221" s="42" t="str">
        <f>IF(ج_ح_شهریور19[[#This Row],[نام]]&lt;&gt;"",ROW()-192+1,"")</f>
        <v/>
      </c>
      <c r="D221" s="43"/>
      <c r="E221" s="43"/>
      <c r="F221" s="44"/>
      <c r="G221" s="45"/>
      <c r="H221" s="46" t="str">
        <f>IF(ج_ح_شهریور19[[#This Row],[کارکرد]]*ج_ح_شهریور19[[#This Row],[دستمزد روزانه ]]=0,"",ج_ح_شهریور19[[#This Row],[کارکرد]]*ج_ح_شهریور19[[#This Row],[دستمزد روزانه ]])</f>
        <v/>
      </c>
      <c r="I221" s="47"/>
      <c r="J221" s="48">
        <f>(ج_ح_شهریور19[[#This Row],[دستمزد روزانه ]]/7.33)*1.4*ج_ح_شهریور19[[#This Row],[مدت اضافه کاری ]]</f>
        <v>0</v>
      </c>
      <c r="K221" s="46" t="str">
        <f>IF(ج_ح_شهریور19[[#This Row],[کارکرد]]="","",ج_ح_شهریور19[[#This Row],[کارکرد]]*حق_مسکن/30)</f>
        <v/>
      </c>
      <c r="L221" s="49"/>
      <c r="M221" s="46" t="str">
        <f>IF(ج_ح_شهریور19[[#This Row],[تعداد فرزندان]]="","",ج_ح_شهریور19[[#This Row],[کارکرد]]/31*3*ج_ح_شهریور19[[#This Row],[تعداد فرزندان]]*حداقل_حقوق_پایه_روزانه)</f>
        <v/>
      </c>
      <c r="N221" s="46" t="str">
        <f>IF(ج_ح_شهریور19[[#This Row],[کارکرد]]="","",ج_ح_شهریور19[[#This Row],[کارکرد]]*حق_خواربار/30)</f>
        <v/>
      </c>
      <c r="O221" s="46" t="str">
        <f>IFERROR(ج_ح_شهریور19[[#This Row],[حقوق پایه]]+ج_ح_شهریور19[[#This Row],[اضافه کاری]]+ج_ح_شهریور19[[#This Row],[حق مسکن]]+ج_ح_شهریور19[[#This Row],[حق اولاد]]+ج_ح_شهریور19[[#This Row],[حق و خواروبار]],"")</f>
        <v/>
      </c>
      <c r="P221" s="46" t="str">
        <f>IFERROR(IF(ج_ح_شهریور19[[#This Row],[حقوق پایه]]+ج_ح_شهریور19[[#This Row],[اضافه کاری]]+ج_ح_شهریور19[[#This Row],[حق مسکن]]+ج_ح_شهریور19[[#This Row],[حق و خواروبار]]&gt;حداکثر_حقوق_مشمول_بیمه_ماهانه,حداکثر_حقوق_مشمول_بیمه_ماهانه,ج_ح_شهریور19[[#This Row],[حقوق پایه]]+ج_ح_شهریور19[[#This Row],[اضافه کاری]]+ج_ح_شهریور19[[#This Row],[حق مسکن]]+ج_ح_شهریور19[[#This Row],[حق و خواروبار]]),"")</f>
        <v/>
      </c>
      <c r="Q221" s="46" t="str">
        <f>IFERROR(ج_ح_شهریور19[[#This Row],[حقوق پایه]]+ج_ح_شهریور19[[#This Row],[اضافه کاری]]-(2/7)*ج_ح_شهریور19[[#This Row],[بیمه پرداختنی]],"")</f>
        <v/>
      </c>
      <c r="R221" s="45"/>
      <c r="S221" s="45"/>
      <c r="T221" s="46" t="str">
        <f>IFERROR(ج_ح_شهریور19[[#This Row],[جمع ح و م م بیمه ]]*7%,"")</f>
        <v/>
      </c>
      <c r="U221" s="50" t="str">
        <f>IFERROR(IF(ج_ح_شهریور19[[#This Row],[جمع ح و م م مالیات]]&gt;=320000000,(ج_ح_شهریور19[[#This Row],[جمع ح و م م مالیات]]-320000000)*35%+61000000,
IF(ج_ح_شهریور19[[#This Row],[جمع ح و م م مالیات]]&gt;=240000000,(ج_ح_شهریور19[[#This Row],[جمع ح و م م مالیات]]-240000000)*30%+37000000,
IF(ج_ح_شهریور19[[#This Row],[جمع ح و م م مالیات]]&gt;=180000000,(ج_ح_شهریور19[[#This Row],[جمع ح و م م مالیات]]-180000000)*25%+22000000,
IF(ج_ح_شهریور19[[#This Row],[جمع ح و م م مالیات]]&gt;=120000000,(ج_ح_شهریور19[[#This Row],[جمع ح و م م مالیات]]-120000000)*20%+10000000,
IF(ج_ح_شهریور19[[#This Row],[جمع ح و م م مالیات]]&gt;=80000000,(ج_ح_شهریور19[[#This Row],[جمع ح و م م مالیات]]-80000000)*15%+4000000,
IF(ج_ح_شهریور19[[#This Row],[جمع ح و م م مالیات]]&gt;=40000000,(ج_ح_شهریور19[[#This Row],[جمع ح و م م مالیات]]-40000000)*10%,0)))))),"")</f>
        <v/>
      </c>
      <c r="V221" s="46" t="str">
        <f>IFERROR(ج_ح_شهریور19[[#This Row],[وام]]+ج_ح_شهریور19[[#This Row],[مساعده]]+ج_ح_شهریور19[[#This Row],[بیمه پرداختنی]]+ج_ح_شهریور19[[#This Row],[مالیات پرداختنی]],"")</f>
        <v/>
      </c>
      <c r="W221" s="46" t="str">
        <f>IFERROR(ج_ح_شهریور19[[#This Row],[جمع ح و م]]-ج_ح_شهریور19[[#This Row],[جمع کسورات]],"")</f>
        <v/>
      </c>
    </row>
    <row r="222" spans="1:23" ht="32.1" customHeight="1">
      <c r="B222" s="32">
        <f t="shared" si="4"/>
        <v>6</v>
      </c>
      <c r="C222" s="51"/>
      <c r="D222" s="52"/>
      <c r="E222" s="52" t="s">
        <v>124</v>
      </c>
      <c r="F222" s="53">
        <f>SUBTOTAL(109,ج_ح_شهریور19[کارکرد])</f>
        <v>31</v>
      </c>
      <c r="G222" s="54">
        <f>SUBTOTAL(109,ج_ح_شهریور19[[دستمزد روزانه ]])</f>
        <v>1000000</v>
      </c>
      <c r="H222" s="54">
        <f>SUBTOTAL(109,ج_ح_شهریور19[حقوق پایه])</f>
        <v>31000000</v>
      </c>
      <c r="I222" s="55">
        <f>SUBTOTAL(109,ج_ح_شهریور19[[مدت اضافه کاری ]])</f>
        <v>7.33</v>
      </c>
      <c r="J222" s="56">
        <f>SUBTOTAL(109,ج_ح_شهریور19[اضافه کاری])</f>
        <v>1400000</v>
      </c>
      <c r="K222" s="54">
        <f>SUBTOTAL(109,ج_ح_شهریور19[حق مسکن])</f>
        <v>0</v>
      </c>
      <c r="L222" s="57">
        <f>SUBTOTAL(109,ج_ح_شهریور19[تعداد فرزندان])</f>
        <v>1</v>
      </c>
      <c r="M222" s="54">
        <f>SUBTOTAL(109,ج_ح_شهریور19[حق اولاد])</f>
        <v>0</v>
      </c>
      <c r="N222" s="54">
        <f>SUBTOTAL(109,ج_ح_شهریور19[حق و خواروبار])</f>
        <v>0</v>
      </c>
      <c r="O222" s="54">
        <f>SUBTOTAL(109,ج_ح_شهریور19[جمع ح و م])</f>
        <v>32400000</v>
      </c>
      <c r="P222" s="54">
        <f>SUBTOTAL(109,ج_ح_شهریور19[[جمع ح و م م بیمه ]])</f>
        <v>0</v>
      </c>
      <c r="Q222" s="54">
        <f>SUBTOTAL(109,ج_ح_شهریور19[جمع ح و م م مالیات])</f>
        <v>0</v>
      </c>
      <c r="R222" s="54">
        <f>SUBTOTAL(109,ج_ح_شهریور19[وام])</f>
        <v>0</v>
      </c>
      <c r="S222" s="54">
        <f>SUBTOTAL(109,ج_ح_شهریور19[مساعده])</f>
        <v>0</v>
      </c>
      <c r="T222" s="54">
        <f>SUBTOTAL(109,ج_ح_شهریور19[بیمه پرداختنی])</f>
        <v>0</v>
      </c>
      <c r="U222" s="54">
        <f>SUBTOTAL(109,ج_ح_شهریور19[مالیات پرداختنی])</f>
        <v>0</v>
      </c>
      <c r="V222" s="54">
        <f>SUBTOTAL(109,ج_ح_شهریور19[جمع کسورات])</f>
        <v>0</v>
      </c>
      <c r="W222" s="54">
        <f>SUBTOTAL(109,ج_ح_شهریور19[خالص قابل پرداخت])</f>
        <v>0</v>
      </c>
    </row>
    <row r="223" spans="1:23" ht="8.1" customHeight="1"/>
    <row r="224" spans="1:23" s="33" customFormat="1" ht="39.950000000000003" customHeight="1">
      <c r="A224" s="34"/>
      <c r="B224" s="34"/>
      <c r="C224" s="105" t="s">
        <v>94</v>
      </c>
      <c r="D224" s="105"/>
      <c r="E224" s="105"/>
      <c r="F224" s="105"/>
      <c r="G224" s="105"/>
      <c r="H224" s="105"/>
      <c r="I224" s="105"/>
      <c r="J224" s="105"/>
      <c r="K224" s="105"/>
      <c r="L224" s="105"/>
      <c r="M224" s="105"/>
      <c r="N224" s="105"/>
      <c r="O224" s="105"/>
      <c r="P224" s="105"/>
      <c r="Q224" s="105"/>
      <c r="R224" s="105"/>
      <c r="S224" s="105"/>
      <c r="T224" s="105"/>
      <c r="U224" s="105"/>
      <c r="V224" s="105"/>
      <c r="W224" s="105"/>
    </row>
    <row r="225" spans="2:23" s="33" customFormat="1" ht="50.1" customHeight="1">
      <c r="C225" s="106" t="s">
        <v>131</v>
      </c>
      <c r="D225" s="106"/>
      <c r="E225" s="106"/>
      <c r="F225" s="106"/>
      <c r="G225" s="106"/>
      <c r="H225" s="106"/>
      <c r="I225" s="106"/>
      <c r="J225" s="106"/>
      <c r="K225" s="106"/>
      <c r="L225" s="106"/>
      <c r="M225" s="106"/>
      <c r="N225" s="106"/>
      <c r="O225" s="106"/>
      <c r="P225" s="106"/>
      <c r="Q225" s="106"/>
      <c r="R225" s="106"/>
      <c r="S225" s="106"/>
      <c r="T225" s="106"/>
      <c r="U225" s="106"/>
      <c r="V225" s="106"/>
      <c r="W225" s="106"/>
    </row>
    <row r="226" spans="2:23" s="35" customFormat="1" ht="50.1" customHeight="1">
      <c r="C226" s="104" t="s">
        <v>45</v>
      </c>
      <c r="D226" s="36" t="s">
        <v>96</v>
      </c>
      <c r="E226" s="36" t="s">
        <v>97</v>
      </c>
      <c r="F226" s="36" t="s">
        <v>98</v>
      </c>
      <c r="G226" s="36" t="s">
        <v>99</v>
      </c>
      <c r="H226" s="36" t="s">
        <v>100</v>
      </c>
      <c r="I226" s="36" t="s">
        <v>101</v>
      </c>
      <c r="J226" s="36" t="s">
        <v>102</v>
      </c>
      <c r="K226" s="36" t="s">
        <v>17</v>
      </c>
      <c r="L226" s="36" t="s">
        <v>103</v>
      </c>
      <c r="M226" s="36" t="s">
        <v>104</v>
      </c>
      <c r="N226" s="36" t="s">
        <v>105</v>
      </c>
      <c r="O226" s="36" t="s">
        <v>106</v>
      </c>
      <c r="P226" s="36" t="s">
        <v>107</v>
      </c>
      <c r="Q226" s="36" t="s">
        <v>108</v>
      </c>
      <c r="R226" s="36" t="s">
        <v>109</v>
      </c>
      <c r="S226" s="36" t="s">
        <v>110</v>
      </c>
      <c r="T226" s="36" t="s">
        <v>111</v>
      </c>
      <c r="U226" s="36" t="s">
        <v>112</v>
      </c>
      <c r="V226" s="36" t="s">
        <v>113</v>
      </c>
      <c r="W226" s="36" t="s">
        <v>114</v>
      </c>
    </row>
    <row r="227" spans="2:23" s="33" customFormat="1" ht="32.1" customHeight="1">
      <c r="C227" s="104"/>
      <c r="D227" s="37">
        <v>1</v>
      </c>
      <c r="E227" s="37">
        <v>2</v>
      </c>
      <c r="F227" s="37">
        <v>3</v>
      </c>
      <c r="G227" s="37">
        <v>4</v>
      </c>
      <c r="H227" s="37">
        <v>5</v>
      </c>
      <c r="I227" s="37">
        <v>6</v>
      </c>
      <c r="J227" s="37">
        <v>7</v>
      </c>
      <c r="K227" s="37">
        <v>8</v>
      </c>
      <c r="L227" s="37">
        <v>9</v>
      </c>
      <c r="M227" s="37">
        <v>10</v>
      </c>
      <c r="N227" s="37">
        <v>11</v>
      </c>
      <c r="O227" s="37">
        <v>12</v>
      </c>
      <c r="P227" s="37">
        <v>13</v>
      </c>
      <c r="Q227" s="37">
        <v>14</v>
      </c>
      <c r="R227" s="37">
        <v>15</v>
      </c>
      <c r="S227" s="37">
        <v>16</v>
      </c>
      <c r="T227" s="37">
        <v>17</v>
      </c>
      <c r="U227" s="37">
        <v>18</v>
      </c>
      <c r="V227" s="37">
        <v>19</v>
      </c>
      <c r="W227" s="38">
        <v>20</v>
      </c>
    </row>
    <row r="228" spans="2:23" s="33" customFormat="1" ht="20.100000000000001" customHeight="1">
      <c r="C228" s="39" t="s">
        <v>45</v>
      </c>
      <c r="D228" s="39" t="s">
        <v>96</v>
      </c>
      <c r="E228" s="39" t="s">
        <v>97</v>
      </c>
      <c r="F228" s="39" t="s">
        <v>98</v>
      </c>
      <c r="G228" s="39" t="s">
        <v>99</v>
      </c>
      <c r="H228" s="39" t="s">
        <v>100</v>
      </c>
      <c r="I228" s="39" t="s">
        <v>115</v>
      </c>
      <c r="J228" s="39" t="s">
        <v>102</v>
      </c>
      <c r="K228" s="39" t="s">
        <v>17</v>
      </c>
      <c r="L228" s="39" t="s">
        <v>116</v>
      </c>
      <c r="M228" s="39" t="s">
        <v>104</v>
      </c>
      <c r="N228" s="39" t="s">
        <v>117</v>
      </c>
      <c r="O228" s="39" t="s">
        <v>118</v>
      </c>
      <c r="P228" s="39" t="s">
        <v>119</v>
      </c>
      <c r="Q228" s="40" t="s">
        <v>120</v>
      </c>
      <c r="R228" s="39" t="s">
        <v>109</v>
      </c>
      <c r="S228" s="39" t="s">
        <v>110</v>
      </c>
      <c r="T228" s="40" t="s">
        <v>121</v>
      </c>
      <c r="U228" s="40" t="s">
        <v>14</v>
      </c>
      <c r="V228" s="39" t="s">
        <v>113</v>
      </c>
      <c r="W228" s="39" t="s">
        <v>122</v>
      </c>
    </row>
    <row r="229" spans="2:23" s="41" customFormat="1" ht="32.1" customHeight="1">
      <c r="B229" s="41">
        <f>B222+1</f>
        <v>7</v>
      </c>
      <c r="C229" s="42">
        <f>IF(ج_ح_مهر20[[#This Row],[نام]]&lt;&gt;"",ROW()-229+1,"")</f>
        <v>1</v>
      </c>
      <c r="D229" s="43" t="s">
        <v>123</v>
      </c>
      <c r="E229" s="43" t="s">
        <v>123</v>
      </c>
      <c r="F229" s="44">
        <v>30</v>
      </c>
      <c r="G229" s="45">
        <v>1000000</v>
      </c>
      <c r="H229" s="46">
        <f>IF(ج_ح_مهر20[[#This Row],[کارکرد]]*ج_ح_مهر20[[#This Row],[دستمزد روزانه ]]=0,"",ج_ح_مهر20[[#This Row],[کارکرد]]*ج_ح_مهر20[[#This Row],[دستمزد روزانه ]])</f>
        <v>30000000</v>
      </c>
      <c r="I229" s="47">
        <v>7.33</v>
      </c>
      <c r="J229" s="48">
        <f>(ج_ح_مهر20[[#This Row],[دستمزد روزانه ]]/7.33)*1.4*ج_ح_مهر20[[#This Row],[مدت اضافه کاری ]]</f>
        <v>1400000</v>
      </c>
      <c r="K229" s="46">
        <f>IF(ج_ح_مهر20[[#This Row],[کارکرد]]="","",ج_ح_مهر20[[#This Row],[کارکرد]]*حق_مسکن/30)</f>
        <v>0</v>
      </c>
      <c r="L229" s="49">
        <v>1</v>
      </c>
      <c r="M229" s="46">
        <f>IF(ج_ح_مهر20[[#This Row],[تعداد فرزندان]]="","",ج_ح_مهر20[[#This Row],[کارکرد]]/30*3*ج_ح_مهر20[[#This Row],[تعداد فرزندان]]*حداقل_حقوق_پایه_روزانه)</f>
        <v>0</v>
      </c>
      <c r="N229" s="46">
        <f>IF(ج_ح_مهر20[[#This Row],[کارکرد]]="","",ج_ح_مهر20[[#This Row],[کارکرد]]*حق_خواربار/30)</f>
        <v>0</v>
      </c>
      <c r="O229" s="46">
        <f>IFERROR(ج_ح_مهر20[[#This Row],[حقوق پایه]]+ج_ح_مهر20[[#This Row],[اضافه کاری]]+ج_ح_مهر20[[#This Row],[حق مسکن]]+ج_ح_مهر20[[#This Row],[حق اولاد]]+ج_ح_مهر20[[#This Row],[حق و خواروبار]],"")</f>
        <v>31400000</v>
      </c>
      <c r="P229"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29" s="46" t="str">
        <f>IFERROR(ج_ح_مهر20[[#This Row],[حقوق پایه]]+ج_ح_مهر20[[#This Row],[اضافه کاری]]-(2/7)*ج_ح_مهر20[[#This Row],[بیمه پرداختنی]],"")</f>
        <v/>
      </c>
      <c r="R229" s="45"/>
      <c r="S229" s="45"/>
      <c r="T229" s="46" t="str">
        <f>IFERROR(ج_ح_مهر20[[#This Row],[جمع ح و م م بیمه ]]*7%,"")</f>
        <v/>
      </c>
      <c r="U229"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29" s="46" t="str">
        <f>IFERROR(ج_ح_مهر20[[#This Row],[وام]]+ج_ح_مهر20[[#This Row],[مساعده]]+ج_ح_مهر20[[#This Row],[بیمه پرداختنی]]+ج_ح_مهر20[[#This Row],[مالیات پرداختنی]],"")</f>
        <v/>
      </c>
      <c r="W229" s="46" t="str">
        <f>IFERROR(ج_ح_مهر20[[#This Row],[جمع ح و م]]-ج_ح_مهر20[[#This Row],[جمع کسورات]],"")</f>
        <v/>
      </c>
    </row>
    <row r="230" spans="2:23" s="41" customFormat="1" ht="32.1" customHeight="1">
      <c r="B230" s="41">
        <f>B229</f>
        <v>7</v>
      </c>
      <c r="C230" s="42" t="str">
        <f>IF(ج_ح_مهر20[[#This Row],[نام]]&lt;&gt;"",ROW()-229+1,"")</f>
        <v/>
      </c>
      <c r="D230" s="43"/>
      <c r="E230" s="43"/>
      <c r="F230" s="44"/>
      <c r="G230" s="45"/>
      <c r="H230" s="46" t="str">
        <f>IF(ج_ح_مهر20[[#This Row],[کارکرد]]*ج_ح_مهر20[[#This Row],[دستمزد روزانه ]]=0,"",ج_ح_مهر20[[#This Row],[کارکرد]]*ج_ح_مهر20[[#This Row],[دستمزد روزانه ]])</f>
        <v/>
      </c>
      <c r="I230" s="47"/>
      <c r="J230" s="48">
        <f>(ج_ح_مهر20[[#This Row],[دستمزد روزانه ]]/7.33)*1.4*ج_ح_مهر20[[#This Row],[مدت اضافه کاری ]]</f>
        <v>0</v>
      </c>
      <c r="K230" s="46" t="str">
        <f>IF(ج_ح_مهر20[[#This Row],[کارکرد]]="","",ج_ح_مهر20[[#This Row],[کارکرد]]*حق_مسکن/30)</f>
        <v/>
      </c>
      <c r="L230" s="49"/>
      <c r="M230" s="46" t="str">
        <f>IF(ج_ح_مهر20[[#This Row],[تعداد فرزندان]]="","",ج_ح_مهر20[[#This Row],[کارکرد]]/30*3*ج_ح_مهر20[[#This Row],[تعداد فرزندان]]*حداقل_حقوق_پایه_روزانه)</f>
        <v/>
      </c>
      <c r="N230" s="46" t="str">
        <f>IF(ج_ح_مهر20[[#This Row],[کارکرد]]="","",ج_ح_مهر20[[#This Row],[کارکرد]]*حق_خواربار/30)</f>
        <v/>
      </c>
      <c r="O230" s="46" t="str">
        <f>IFERROR(ج_ح_مهر20[[#This Row],[حقوق پایه]]+ج_ح_مهر20[[#This Row],[اضافه کاری]]+ج_ح_مهر20[[#This Row],[حق مسکن]]+ج_ح_مهر20[[#This Row],[حق اولاد]]+ج_ح_مهر20[[#This Row],[حق و خواروبار]],"")</f>
        <v/>
      </c>
      <c r="P230"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30" s="46" t="str">
        <f>IFERROR(ج_ح_مهر20[[#This Row],[حقوق پایه]]+ج_ح_مهر20[[#This Row],[اضافه کاری]]-(2/7)*ج_ح_مهر20[[#This Row],[بیمه پرداختنی]],"")</f>
        <v/>
      </c>
      <c r="R230" s="45"/>
      <c r="S230" s="45"/>
      <c r="T230" s="46" t="str">
        <f>IFERROR(ج_ح_مهر20[[#This Row],[جمع ح و م م بیمه ]]*7%,"")</f>
        <v/>
      </c>
      <c r="U230"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30" s="46" t="str">
        <f>IFERROR(ج_ح_مهر20[[#This Row],[وام]]+ج_ح_مهر20[[#This Row],[مساعده]]+ج_ح_مهر20[[#This Row],[بیمه پرداختنی]]+ج_ح_مهر20[[#This Row],[مالیات پرداختنی]],"")</f>
        <v/>
      </c>
      <c r="W230" s="46" t="str">
        <f>IFERROR(ج_ح_مهر20[[#This Row],[جمع ح و م]]-ج_ح_مهر20[[#This Row],[جمع کسورات]],"")</f>
        <v/>
      </c>
    </row>
    <row r="231" spans="2:23" s="41" customFormat="1" ht="32.1" customHeight="1">
      <c r="B231" s="41">
        <f t="shared" ref="B231:B259" si="5">B230</f>
        <v>7</v>
      </c>
      <c r="C231" s="42" t="str">
        <f>IF(ج_ح_مهر20[[#This Row],[نام]]&lt;&gt;"",ROW()-229+1,"")</f>
        <v/>
      </c>
      <c r="D231" s="43"/>
      <c r="E231" s="43"/>
      <c r="F231" s="44"/>
      <c r="G231" s="45"/>
      <c r="H231" s="46" t="str">
        <f>IF(ج_ح_مهر20[[#This Row],[کارکرد]]*ج_ح_مهر20[[#This Row],[دستمزد روزانه ]]=0,"",ج_ح_مهر20[[#This Row],[کارکرد]]*ج_ح_مهر20[[#This Row],[دستمزد روزانه ]])</f>
        <v/>
      </c>
      <c r="I231" s="47"/>
      <c r="J231" s="48">
        <f>(ج_ح_مهر20[[#This Row],[دستمزد روزانه ]]/7.33)*1.4*ج_ح_مهر20[[#This Row],[مدت اضافه کاری ]]</f>
        <v>0</v>
      </c>
      <c r="K231" s="46" t="str">
        <f>IF(ج_ح_مهر20[[#This Row],[کارکرد]]="","",ج_ح_مهر20[[#This Row],[کارکرد]]*حق_مسکن/30)</f>
        <v/>
      </c>
      <c r="L231" s="49"/>
      <c r="M231" s="46" t="str">
        <f>IF(ج_ح_مهر20[[#This Row],[تعداد فرزندان]]="","",ج_ح_مهر20[[#This Row],[کارکرد]]/30*3*ج_ح_مهر20[[#This Row],[تعداد فرزندان]]*حداقل_حقوق_پایه_روزانه)</f>
        <v/>
      </c>
      <c r="N231" s="46" t="str">
        <f>IF(ج_ح_مهر20[[#This Row],[کارکرد]]="","",ج_ح_مهر20[[#This Row],[کارکرد]]*حق_خواربار/30)</f>
        <v/>
      </c>
      <c r="O231" s="46" t="str">
        <f>IFERROR(ج_ح_مهر20[[#This Row],[حقوق پایه]]+ج_ح_مهر20[[#This Row],[اضافه کاری]]+ج_ح_مهر20[[#This Row],[حق مسکن]]+ج_ح_مهر20[[#This Row],[حق اولاد]]+ج_ح_مهر20[[#This Row],[حق و خواروبار]],"")</f>
        <v/>
      </c>
      <c r="P231"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31" s="46" t="str">
        <f>IFERROR(ج_ح_مهر20[[#This Row],[حقوق پایه]]+ج_ح_مهر20[[#This Row],[اضافه کاری]]-(2/7)*ج_ح_مهر20[[#This Row],[بیمه پرداختنی]],"")</f>
        <v/>
      </c>
      <c r="R231" s="45"/>
      <c r="S231" s="45"/>
      <c r="T231" s="46" t="str">
        <f>IFERROR(ج_ح_مهر20[[#This Row],[جمع ح و م م بیمه ]]*7%,"")</f>
        <v/>
      </c>
      <c r="U231"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31" s="46" t="str">
        <f>IFERROR(ج_ح_مهر20[[#This Row],[وام]]+ج_ح_مهر20[[#This Row],[مساعده]]+ج_ح_مهر20[[#This Row],[بیمه پرداختنی]]+ج_ح_مهر20[[#This Row],[مالیات پرداختنی]],"")</f>
        <v/>
      </c>
      <c r="W231" s="46" t="str">
        <f>IFERROR(ج_ح_مهر20[[#This Row],[جمع ح و م]]-ج_ح_مهر20[[#This Row],[جمع کسورات]],"")</f>
        <v/>
      </c>
    </row>
    <row r="232" spans="2:23" s="41" customFormat="1" ht="32.1" customHeight="1">
      <c r="B232" s="41">
        <f t="shared" si="5"/>
        <v>7</v>
      </c>
      <c r="C232" s="42" t="str">
        <f>IF(ج_ح_مهر20[[#This Row],[نام]]&lt;&gt;"",ROW()-229+1,"")</f>
        <v/>
      </c>
      <c r="D232" s="43"/>
      <c r="E232" s="43"/>
      <c r="F232" s="44"/>
      <c r="G232" s="45"/>
      <c r="H232" s="46" t="str">
        <f>IF(ج_ح_مهر20[[#This Row],[کارکرد]]*ج_ح_مهر20[[#This Row],[دستمزد روزانه ]]=0,"",ج_ح_مهر20[[#This Row],[کارکرد]]*ج_ح_مهر20[[#This Row],[دستمزد روزانه ]])</f>
        <v/>
      </c>
      <c r="I232" s="47"/>
      <c r="J232" s="48">
        <f>(ج_ح_مهر20[[#This Row],[دستمزد روزانه ]]/7.33)*1.4*ج_ح_مهر20[[#This Row],[مدت اضافه کاری ]]</f>
        <v>0</v>
      </c>
      <c r="K232" s="46" t="str">
        <f>IF(ج_ح_مهر20[[#This Row],[کارکرد]]="","",ج_ح_مهر20[[#This Row],[کارکرد]]*حق_مسکن/30)</f>
        <v/>
      </c>
      <c r="L232" s="49"/>
      <c r="M232" s="46" t="str">
        <f>IF(ج_ح_مهر20[[#This Row],[تعداد فرزندان]]="","",ج_ح_مهر20[[#This Row],[کارکرد]]/30*3*ج_ح_مهر20[[#This Row],[تعداد فرزندان]]*حداقل_حقوق_پایه_روزانه)</f>
        <v/>
      </c>
      <c r="N232" s="46" t="str">
        <f>IF(ج_ح_مهر20[[#This Row],[کارکرد]]="","",ج_ح_مهر20[[#This Row],[کارکرد]]*حق_خواربار/30)</f>
        <v/>
      </c>
      <c r="O232" s="46" t="str">
        <f>IFERROR(ج_ح_مهر20[[#This Row],[حقوق پایه]]+ج_ح_مهر20[[#This Row],[اضافه کاری]]+ج_ح_مهر20[[#This Row],[حق مسکن]]+ج_ح_مهر20[[#This Row],[حق اولاد]]+ج_ح_مهر20[[#This Row],[حق و خواروبار]],"")</f>
        <v/>
      </c>
      <c r="P232"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32" s="46" t="str">
        <f>IFERROR(ج_ح_مهر20[[#This Row],[حقوق پایه]]+ج_ح_مهر20[[#This Row],[اضافه کاری]]-(2/7)*ج_ح_مهر20[[#This Row],[بیمه پرداختنی]],"")</f>
        <v/>
      </c>
      <c r="R232" s="45"/>
      <c r="S232" s="45"/>
      <c r="T232" s="46" t="str">
        <f>IFERROR(ج_ح_مهر20[[#This Row],[جمع ح و م م بیمه ]]*7%,"")</f>
        <v/>
      </c>
      <c r="U232"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32" s="46" t="str">
        <f>IFERROR(ج_ح_مهر20[[#This Row],[وام]]+ج_ح_مهر20[[#This Row],[مساعده]]+ج_ح_مهر20[[#This Row],[بیمه پرداختنی]]+ج_ح_مهر20[[#This Row],[مالیات پرداختنی]],"")</f>
        <v/>
      </c>
      <c r="W232" s="46" t="str">
        <f>IFERROR(ج_ح_مهر20[[#This Row],[جمع ح و م]]-ج_ح_مهر20[[#This Row],[جمع کسورات]],"")</f>
        <v/>
      </c>
    </row>
    <row r="233" spans="2:23" s="41" customFormat="1" ht="32.1" customHeight="1">
      <c r="B233" s="41">
        <f t="shared" si="5"/>
        <v>7</v>
      </c>
      <c r="C233" s="42" t="str">
        <f>IF(ج_ح_مهر20[[#This Row],[نام]]&lt;&gt;"",ROW()-229+1,"")</f>
        <v/>
      </c>
      <c r="D233" s="43"/>
      <c r="E233" s="43"/>
      <c r="F233" s="44"/>
      <c r="G233" s="45"/>
      <c r="H233" s="46" t="str">
        <f>IF(ج_ح_مهر20[[#This Row],[کارکرد]]*ج_ح_مهر20[[#This Row],[دستمزد روزانه ]]=0,"",ج_ح_مهر20[[#This Row],[کارکرد]]*ج_ح_مهر20[[#This Row],[دستمزد روزانه ]])</f>
        <v/>
      </c>
      <c r="I233" s="47"/>
      <c r="J233" s="48">
        <f>(ج_ح_مهر20[[#This Row],[دستمزد روزانه ]]/7.33)*1.4*ج_ح_مهر20[[#This Row],[مدت اضافه کاری ]]</f>
        <v>0</v>
      </c>
      <c r="K233" s="46" t="str">
        <f>IF(ج_ح_مهر20[[#This Row],[کارکرد]]="","",ج_ح_مهر20[[#This Row],[کارکرد]]*حق_مسکن/30)</f>
        <v/>
      </c>
      <c r="L233" s="49"/>
      <c r="M233" s="46" t="str">
        <f>IF(ج_ح_مهر20[[#This Row],[تعداد فرزندان]]="","",ج_ح_مهر20[[#This Row],[کارکرد]]/30*3*ج_ح_مهر20[[#This Row],[تعداد فرزندان]]*حداقل_حقوق_پایه_روزانه)</f>
        <v/>
      </c>
      <c r="N233" s="46" t="str">
        <f>IF(ج_ح_مهر20[[#This Row],[کارکرد]]="","",ج_ح_مهر20[[#This Row],[کارکرد]]*حق_خواربار/30)</f>
        <v/>
      </c>
      <c r="O233" s="46" t="str">
        <f>IFERROR(ج_ح_مهر20[[#This Row],[حقوق پایه]]+ج_ح_مهر20[[#This Row],[اضافه کاری]]+ج_ح_مهر20[[#This Row],[حق مسکن]]+ج_ح_مهر20[[#This Row],[حق اولاد]]+ج_ح_مهر20[[#This Row],[حق و خواروبار]],"")</f>
        <v/>
      </c>
      <c r="P233"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33" s="46" t="str">
        <f>IFERROR(ج_ح_مهر20[[#This Row],[حقوق پایه]]+ج_ح_مهر20[[#This Row],[اضافه کاری]]-(2/7)*ج_ح_مهر20[[#This Row],[بیمه پرداختنی]],"")</f>
        <v/>
      </c>
      <c r="R233" s="45"/>
      <c r="S233" s="45"/>
      <c r="T233" s="46" t="str">
        <f>IFERROR(ج_ح_مهر20[[#This Row],[جمع ح و م م بیمه ]]*7%,"")</f>
        <v/>
      </c>
      <c r="U233"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33" s="46" t="str">
        <f>IFERROR(ج_ح_مهر20[[#This Row],[وام]]+ج_ح_مهر20[[#This Row],[مساعده]]+ج_ح_مهر20[[#This Row],[بیمه پرداختنی]]+ج_ح_مهر20[[#This Row],[مالیات پرداختنی]],"")</f>
        <v/>
      </c>
      <c r="W233" s="46" t="str">
        <f>IFERROR(ج_ح_مهر20[[#This Row],[جمع ح و م]]-ج_ح_مهر20[[#This Row],[جمع کسورات]],"")</f>
        <v/>
      </c>
    </row>
    <row r="234" spans="2:23" s="41" customFormat="1" ht="32.1" customHeight="1">
      <c r="B234" s="41">
        <f t="shared" si="5"/>
        <v>7</v>
      </c>
      <c r="C234" s="42" t="str">
        <f>IF(ج_ح_مهر20[[#This Row],[نام]]&lt;&gt;"",ROW()-229+1,"")</f>
        <v/>
      </c>
      <c r="D234" s="43"/>
      <c r="E234" s="43"/>
      <c r="F234" s="44"/>
      <c r="G234" s="45"/>
      <c r="H234" s="46" t="str">
        <f>IF(ج_ح_مهر20[[#This Row],[کارکرد]]*ج_ح_مهر20[[#This Row],[دستمزد روزانه ]]=0,"",ج_ح_مهر20[[#This Row],[کارکرد]]*ج_ح_مهر20[[#This Row],[دستمزد روزانه ]])</f>
        <v/>
      </c>
      <c r="I234" s="47"/>
      <c r="J234" s="48">
        <f>(ج_ح_مهر20[[#This Row],[دستمزد روزانه ]]/7.33)*1.4*ج_ح_مهر20[[#This Row],[مدت اضافه کاری ]]</f>
        <v>0</v>
      </c>
      <c r="K234" s="46" t="str">
        <f>IF(ج_ح_مهر20[[#This Row],[کارکرد]]="","",ج_ح_مهر20[[#This Row],[کارکرد]]*حق_مسکن/30)</f>
        <v/>
      </c>
      <c r="L234" s="49"/>
      <c r="M234" s="46" t="str">
        <f>IF(ج_ح_مهر20[[#This Row],[تعداد فرزندان]]="","",ج_ح_مهر20[[#This Row],[کارکرد]]/30*3*ج_ح_مهر20[[#This Row],[تعداد فرزندان]]*حداقل_حقوق_پایه_روزانه)</f>
        <v/>
      </c>
      <c r="N234" s="46" t="str">
        <f>IF(ج_ح_مهر20[[#This Row],[کارکرد]]="","",ج_ح_مهر20[[#This Row],[کارکرد]]*حق_خواربار/30)</f>
        <v/>
      </c>
      <c r="O234" s="46" t="str">
        <f>IFERROR(ج_ح_مهر20[[#This Row],[حقوق پایه]]+ج_ح_مهر20[[#This Row],[اضافه کاری]]+ج_ح_مهر20[[#This Row],[حق مسکن]]+ج_ح_مهر20[[#This Row],[حق اولاد]]+ج_ح_مهر20[[#This Row],[حق و خواروبار]],"")</f>
        <v/>
      </c>
      <c r="P234"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34" s="46" t="str">
        <f>IFERROR(ج_ح_مهر20[[#This Row],[حقوق پایه]]+ج_ح_مهر20[[#This Row],[اضافه کاری]]-(2/7)*ج_ح_مهر20[[#This Row],[بیمه پرداختنی]],"")</f>
        <v/>
      </c>
      <c r="R234" s="45"/>
      <c r="S234" s="45"/>
      <c r="T234" s="46" t="str">
        <f>IFERROR(ج_ح_مهر20[[#This Row],[جمع ح و م م بیمه ]]*7%,"")</f>
        <v/>
      </c>
      <c r="U234"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34" s="46" t="str">
        <f>IFERROR(ج_ح_مهر20[[#This Row],[وام]]+ج_ح_مهر20[[#This Row],[مساعده]]+ج_ح_مهر20[[#This Row],[بیمه پرداختنی]]+ج_ح_مهر20[[#This Row],[مالیات پرداختنی]],"")</f>
        <v/>
      </c>
      <c r="W234" s="46" t="str">
        <f>IFERROR(ج_ح_مهر20[[#This Row],[جمع ح و م]]-ج_ح_مهر20[[#This Row],[جمع کسورات]],"")</f>
        <v/>
      </c>
    </row>
    <row r="235" spans="2:23" s="41" customFormat="1" ht="32.1" customHeight="1">
      <c r="B235" s="41">
        <f t="shared" si="5"/>
        <v>7</v>
      </c>
      <c r="C235" s="42" t="str">
        <f>IF(ج_ح_مهر20[[#This Row],[نام]]&lt;&gt;"",ROW()-229+1,"")</f>
        <v/>
      </c>
      <c r="D235" s="43"/>
      <c r="E235" s="43"/>
      <c r="F235" s="44"/>
      <c r="G235" s="45"/>
      <c r="H235" s="46" t="str">
        <f>IF(ج_ح_مهر20[[#This Row],[کارکرد]]*ج_ح_مهر20[[#This Row],[دستمزد روزانه ]]=0,"",ج_ح_مهر20[[#This Row],[کارکرد]]*ج_ح_مهر20[[#This Row],[دستمزد روزانه ]])</f>
        <v/>
      </c>
      <c r="I235" s="47"/>
      <c r="J235" s="48">
        <f>(ج_ح_مهر20[[#This Row],[دستمزد روزانه ]]/7.33)*1.4*ج_ح_مهر20[[#This Row],[مدت اضافه کاری ]]</f>
        <v>0</v>
      </c>
      <c r="K235" s="46" t="str">
        <f>IF(ج_ح_مهر20[[#This Row],[کارکرد]]="","",ج_ح_مهر20[[#This Row],[کارکرد]]*حق_مسکن/30)</f>
        <v/>
      </c>
      <c r="L235" s="49"/>
      <c r="M235" s="46" t="str">
        <f>IF(ج_ح_مهر20[[#This Row],[تعداد فرزندان]]="","",ج_ح_مهر20[[#This Row],[کارکرد]]/30*3*ج_ح_مهر20[[#This Row],[تعداد فرزندان]]*حداقل_حقوق_پایه_روزانه)</f>
        <v/>
      </c>
      <c r="N235" s="46" t="str">
        <f>IF(ج_ح_مهر20[[#This Row],[کارکرد]]="","",ج_ح_مهر20[[#This Row],[کارکرد]]*حق_خواربار/30)</f>
        <v/>
      </c>
      <c r="O235" s="46" t="str">
        <f>IFERROR(ج_ح_مهر20[[#This Row],[حقوق پایه]]+ج_ح_مهر20[[#This Row],[اضافه کاری]]+ج_ح_مهر20[[#This Row],[حق مسکن]]+ج_ح_مهر20[[#This Row],[حق اولاد]]+ج_ح_مهر20[[#This Row],[حق و خواروبار]],"")</f>
        <v/>
      </c>
      <c r="P235"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35" s="46" t="str">
        <f>IFERROR(ج_ح_مهر20[[#This Row],[حقوق پایه]]+ج_ح_مهر20[[#This Row],[اضافه کاری]]-(2/7)*ج_ح_مهر20[[#This Row],[بیمه پرداختنی]],"")</f>
        <v/>
      </c>
      <c r="R235" s="45"/>
      <c r="S235" s="45"/>
      <c r="T235" s="46" t="str">
        <f>IFERROR(ج_ح_مهر20[[#This Row],[جمع ح و م م بیمه ]]*7%,"")</f>
        <v/>
      </c>
      <c r="U235"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35" s="46" t="str">
        <f>IFERROR(ج_ح_مهر20[[#This Row],[وام]]+ج_ح_مهر20[[#This Row],[مساعده]]+ج_ح_مهر20[[#This Row],[بیمه پرداختنی]]+ج_ح_مهر20[[#This Row],[مالیات پرداختنی]],"")</f>
        <v/>
      </c>
      <c r="W235" s="46" t="str">
        <f>IFERROR(ج_ح_مهر20[[#This Row],[جمع ح و م]]-ج_ح_مهر20[[#This Row],[جمع کسورات]],"")</f>
        <v/>
      </c>
    </row>
    <row r="236" spans="2:23" s="41" customFormat="1" ht="32.1" customHeight="1">
      <c r="B236" s="41">
        <f t="shared" si="5"/>
        <v>7</v>
      </c>
      <c r="C236" s="42" t="str">
        <f>IF(ج_ح_مهر20[[#This Row],[نام]]&lt;&gt;"",ROW()-229+1,"")</f>
        <v/>
      </c>
      <c r="D236" s="43"/>
      <c r="E236" s="43"/>
      <c r="F236" s="44"/>
      <c r="G236" s="45"/>
      <c r="H236" s="46" t="str">
        <f>IF(ج_ح_مهر20[[#This Row],[کارکرد]]*ج_ح_مهر20[[#This Row],[دستمزد روزانه ]]=0,"",ج_ح_مهر20[[#This Row],[کارکرد]]*ج_ح_مهر20[[#This Row],[دستمزد روزانه ]])</f>
        <v/>
      </c>
      <c r="I236" s="47"/>
      <c r="J236" s="48">
        <f>(ج_ح_مهر20[[#This Row],[دستمزد روزانه ]]/7.33)*1.4*ج_ح_مهر20[[#This Row],[مدت اضافه کاری ]]</f>
        <v>0</v>
      </c>
      <c r="K236" s="46" t="str">
        <f>IF(ج_ح_مهر20[[#This Row],[کارکرد]]="","",ج_ح_مهر20[[#This Row],[کارکرد]]*حق_مسکن/30)</f>
        <v/>
      </c>
      <c r="L236" s="49"/>
      <c r="M236" s="46" t="str">
        <f>IF(ج_ح_مهر20[[#This Row],[تعداد فرزندان]]="","",ج_ح_مهر20[[#This Row],[کارکرد]]/30*3*ج_ح_مهر20[[#This Row],[تعداد فرزندان]]*حداقل_حقوق_پایه_روزانه)</f>
        <v/>
      </c>
      <c r="N236" s="46" t="str">
        <f>IF(ج_ح_مهر20[[#This Row],[کارکرد]]="","",ج_ح_مهر20[[#This Row],[کارکرد]]*حق_خواربار/30)</f>
        <v/>
      </c>
      <c r="O236" s="46" t="str">
        <f>IFERROR(ج_ح_مهر20[[#This Row],[حقوق پایه]]+ج_ح_مهر20[[#This Row],[اضافه کاری]]+ج_ح_مهر20[[#This Row],[حق مسکن]]+ج_ح_مهر20[[#This Row],[حق اولاد]]+ج_ح_مهر20[[#This Row],[حق و خواروبار]],"")</f>
        <v/>
      </c>
      <c r="P236"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36" s="46" t="str">
        <f>IFERROR(ج_ح_مهر20[[#This Row],[حقوق پایه]]+ج_ح_مهر20[[#This Row],[اضافه کاری]]-(2/7)*ج_ح_مهر20[[#This Row],[بیمه پرداختنی]],"")</f>
        <v/>
      </c>
      <c r="R236" s="45"/>
      <c r="S236" s="45"/>
      <c r="T236" s="46" t="str">
        <f>IFERROR(ج_ح_مهر20[[#This Row],[جمع ح و م م بیمه ]]*7%,"")</f>
        <v/>
      </c>
      <c r="U236"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36" s="46" t="str">
        <f>IFERROR(ج_ح_مهر20[[#This Row],[وام]]+ج_ح_مهر20[[#This Row],[مساعده]]+ج_ح_مهر20[[#This Row],[بیمه پرداختنی]]+ج_ح_مهر20[[#This Row],[مالیات پرداختنی]],"")</f>
        <v/>
      </c>
      <c r="W236" s="46" t="str">
        <f>IFERROR(ج_ح_مهر20[[#This Row],[جمع ح و م]]-ج_ح_مهر20[[#This Row],[جمع کسورات]],"")</f>
        <v/>
      </c>
    </row>
    <row r="237" spans="2:23" s="41" customFormat="1" ht="32.1" customHeight="1">
      <c r="B237" s="41">
        <f t="shared" si="5"/>
        <v>7</v>
      </c>
      <c r="C237" s="42" t="str">
        <f>IF(ج_ح_مهر20[[#This Row],[نام]]&lt;&gt;"",ROW()-229+1,"")</f>
        <v/>
      </c>
      <c r="D237" s="43"/>
      <c r="E237" s="43"/>
      <c r="F237" s="44"/>
      <c r="G237" s="45"/>
      <c r="H237" s="46" t="str">
        <f>IF(ج_ح_مهر20[[#This Row],[کارکرد]]*ج_ح_مهر20[[#This Row],[دستمزد روزانه ]]=0,"",ج_ح_مهر20[[#This Row],[کارکرد]]*ج_ح_مهر20[[#This Row],[دستمزد روزانه ]])</f>
        <v/>
      </c>
      <c r="I237" s="47"/>
      <c r="J237" s="48">
        <f>(ج_ح_مهر20[[#This Row],[دستمزد روزانه ]]/7.33)*1.4*ج_ح_مهر20[[#This Row],[مدت اضافه کاری ]]</f>
        <v>0</v>
      </c>
      <c r="K237" s="46" t="str">
        <f>IF(ج_ح_مهر20[[#This Row],[کارکرد]]="","",ج_ح_مهر20[[#This Row],[کارکرد]]*حق_مسکن/30)</f>
        <v/>
      </c>
      <c r="L237" s="49"/>
      <c r="M237" s="46" t="str">
        <f>IF(ج_ح_مهر20[[#This Row],[تعداد فرزندان]]="","",ج_ح_مهر20[[#This Row],[کارکرد]]/30*3*ج_ح_مهر20[[#This Row],[تعداد فرزندان]]*حداقل_حقوق_پایه_روزانه)</f>
        <v/>
      </c>
      <c r="N237" s="46" t="str">
        <f>IF(ج_ح_مهر20[[#This Row],[کارکرد]]="","",ج_ح_مهر20[[#This Row],[کارکرد]]*حق_خواربار/30)</f>
        <v/>
      </c>
      <c r="O237" s="46" t="str">
        <f>IFERROR(ج_ح_مهر20[[#This Row],[حقوق پایه]]+ج_ح_مهر20[[#This Row],[اضافه کاری]]+ج_ح_مهر20[[#This Row],[حق مسکن]]+ج_ح_مهر20[[#This Row],[حق اولاد]]+ج_ح_مهر20[[#This Row],[حق و خواروبار]],"")</f>
        <v/>
      </c>
      <c r="P237"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37" s="46" t="str">
        <f>IFERROR(ج_ح_مهر20[[#This Row],[حقوق پایه]]+ج_ح_مهر20[[#This Row],[اضافه کاری]]-(2/7)*ج_ح_مهر20[[#This Row],[بیمه پرداختنی]],"")</f>
        <v/>
      </c>
      <c r="R237" s="45"/>
      <c r="S237" s="45"/>
      <c r="T237" s="46" t="str">
        <f>IFERROR(ج_ح_مهر20[[#This Row],[جمع ح و م م بیمه ]]*7%,"")</f>
        <v/>
      </c>
      <c r="U237"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37" s="46" t="str">
        <f>IFERROR(ج_ح_مهر20[[#This Row],[وام]]+ج_ح_مهر20[[#This Row],[مساعده]]+ج_ح_مهر20[[#This Row],[بیمه پرداختنی]]+ج_ح_مهر20[[#This Row],[مالیات پرداختنی]],"")</f>
        <v/>
      </c>
      <c r="W237" s="46" t="str">
        <f>IFERROR(ج_ح_مهر20[[#This Row],[جمع ح و م]]-ج_ح_مهر20[[#This Row],[جمع کسورات]],"")</f>
        <v/>
      </c>
    </row>
    <row r="238" spans="2:23" s="41" customFormat="1" ht="32.1" customHeight="1">
      <c r="B238" s="41">
        <f t="shared" si="5"/>
        <v>7</v>
      </c>
      <c r="C238" s="42" t="str">
        <f>IF(ج_ح_مهر20[[#This Row],[نام]]&lt;&gt;"",ROW()-229+1,"")</f>
        <v/>
      </c>
      <c r="D238" s="43"/>
      <c r="E238" s="43"/>
      <c r="F238" s="44"/>
      <c r="G238" s="45"/>
      <c r="H238" s="46" t="str">
        <f>IF(ج_ح_مهر20[[#This Row],[کارکرد]]*ج_ح_مهر20[[#This Row],[دستمزد روزانه ]]=0,"",ج_ح_مهر20[[#This Row],[کارکرد]]*ج_ح_مهر20[[#This Row],[دستمزد روزانه ]])</f>
        <v/>
      </c>
      <c r="I238" s="47"/>
      <c r="J238" s="48">
        <f>(ج_ح_مهر20[[#This Row],[دستمزد روزانه ]]/7.33)*1.4*ج_ح_مهر20[[#This Row],[مدت اضافه کاری ]]</f>
        <v>0</v>
      </c>
      <c r="K238" s="46" t="str">
        <f>IF(ج_ح_مهر20[[#This Row],[کارکرد]]="","",ج_ح_مهر20[[#This Row],[کارکرد]]*حق_مسکن/30)</f>
        <v/>
      </c>
      <c r="L238" s="49"/>
      <c r="M238" s="46" t="str">
        <f>IF(ج_ح_مهر20[[#This Row],[تعداد فرزندان]]="","",ج_ح_مهر20[[#This Row],[کارکرد]]/30*3*ج_ح_مهر20[[#This Row],[تعداد فرزندان]]*حداقل_حقوق_پایه_روزانه)</f>
        <v/>
      </c>
      <c r="N238" s="46" t="str">
        <f>IF(ج_ح_مهر20[[#This Row],[کارکرد]]="","",ج_ح_مهر20[[#This Row],[کارکرد]]*حق_خواربار/30)</f>
        <v/>
      </c>
      <c r="O238" s="46" t="str">
        <f>IFERROR(ج_ح_مهر20[[#This Row],[حقوق پایه]]+ج_ح_مهر20[[#This Row],[اضافه کاری]]+ج_ح_مهر20[[#This Row],[حق مسکن]]+ج_ح_مهر20[[#This Row],[حق اولاد]]+ج_ح_مهر20[[#This Row],[حق و خواروبار]],"")</f>
        <v/>
      </c>
      <c r="P238"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38" s="46" t="str">
        <f>IFERROR(ج_ح_مهر20[[#This Row],[حقوق پایه]]+ج_ح_مهر20[[#This Row],[اضافه کاری]]-(2/7)*ج_ح_مهر20[[#This Row],[بیمه پرداختنی]],"")</f>
        <v/>
      </c>
      <c r="R238" s="45"/>
      <c r="S238" s="45"/>
      <c r="T238" s="46" t="str">
        <f>IFERROR(ج_ح_مهر20[[#This Row],[جمع ح و م م بیمه ]]*7%,"")</f>
        <v/>
      </c>
      <c r="U238"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38" s="46" t="str">
        <f>IFERROR(ج_ح_مهر20[[#This Row],[وام]]+ج_ح_مهر20[[#This Row],[مساعده]]+ج_ح_مهر20[[#This Row],[بیمه پرداختنی]]+ج_ح_مهر20[[#This Row],[مالیات پرداختنی]],"")</f>
        <v/>
      </c>
      <c r="W238" s="46" t="str">
        <f>IFERROR(ج_ح_مهر20[[#This Row],[جمع ح و م]]-ج_ح_مهر20[[#This Row],[جمع کسورات]],"")</f>
        <v/>
      </c>
    </row>
    <row r="239" spans="2:23" s="41" customFormat="1" ht="32.1" customHeight="1">
      <c r="B239" s="41">
        <f t="shared" si="5"/>
        <v>7</v>
      </c>
      <c r="C239" s="42" t="str">
        <f>IF(ج_ح_مهر20[[#This Row],[نام]]&lt;&gt;"",ROW()-229+1,"")</f>
        <v/>
      </c>
      <c r="D239" s="43"/>
      <c r="E239" s="43"/>
      <c r="F239" s="44"/>
      <c r="G239" s="45"/>
      <c r="H239" s="46" t="str">
        <f>IF(ج_ح_مهر20[[#This Row],[کارکرد]]*ج_ح_مهر20[[#This Row],[دستمزد روزانه ]]=0,"",ج_ح_مهر20[[#This Row],[کارکرد]]*ج_ح_مهر20[[#This Row],[دستمزد روزانه ]])</f>
        <v/>
      </c>
      <c r="I239" s="47"/>
      <c r="J239" s="48">
        <f>(ج_ح_مهر20[[#This Row],[دستمزد روزانه ]]/7.33)*1.4*ج_ح_مهر20[[#This Row],[مدت اضافه کاری ]]</f>
        <v>0</v>
      </c>
      <c r="K239" s="46" t="str">
        <f>IF(ج_ح_مهر20[[#This Row],[کارکرد]]="","",ج_ح_مهر20[[#This Row],[کارکرد]]*حق_مسکن/30)</f>
        <v/>
      </c>
      <c r="L239" s="49"/>
      <c r="M239" s="46" t="str">
        <f>IF(ج_ح_مهر20[[#This Row],[تعداد فرزندان]]="","",ج_ح_مهر20[[#This Row],[کارکرد]]/30*3*ج_ح_مهر20[[#This Row],[تعداد فرزندان]]*حداقل_حقوق_پایه_روزانه)</f>
        <v/>
      </c>
      <c r="N239" s="46" t="str">
        <f>IF(ج_ح_مهر20[[#This Row],[کارکرد]]="","",ج_ح_مهر20[[#This Row],[کارکرد]]*حق_خواربار/30)</f>
        <v/>
      </c>
      <c r="O239" s="46" t="str">
        <f>IFERROR(ج_ح_مهر20[[#This Row],[حقوق پایه]]+ج_ح_مهر20[[#This Row],[اضافه کاری]]+ج_ح_مهر20[[#This Row],[حق مسکن]]+ج_ح_مهر20[[#This Row],[حق اولاد]]+ج_ح_مهر20[[#This Row],[حق و خواروبار]],"")</f>
        <v/>
      </c>
      <c r="P239"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39" s="46" t="str">
        <f>IFERROR(ج_ح_مهر20[[#This Row],[حقوق پایه]]+ج_ح_مهر20[[#This Row],[اضافه کاری]]-(2/7)*ج_ح_مهر20[[#This Row],[بیمه پرداختنی]],"")</f>
        <v/>
      </c>
      <c r="R239" s="45"/>
      <c r="S239" s="45"/>
      <c r="T239" s="46" t="str">
        <f>IFERROR(ج_ح_مهر20[[#This Row],[جمع ح و م م بیمه ]]*7%,"")</f>
        <v/>
      </c>
      <c r="U239"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39" s="46" t="str">
        <f>IFERROR(ج_ح_مهر20[[#This Row],[وام]]+ج_ح_مهر20[[#This Row],[مساعده]]+ج_ح_مهر20[[#This Row],[بیمه پرداختنی]]+ج_ح_مهر20[[#This Row],[مالیات پرداختنی]],"")</f>
        <v/>
      </c>
      <c r="W239" s="46" t="str">
        <f>IFERROR(ج_ح_مهر20[[#This Row],[جمع ح و م]]-ج_ح_مهر20[[#This Row],[جمع کسورات]],"")</f>
        <v/>
      </c>
    </row>
    <row r="240" spans="2:23" s="41" customFormat="1" ht="32.1" customHeight="1">
      <c r="B240" s="41">
        <f t="shared" si="5"/>
        <v>7</v>
      </c>
      <c r="C240" s="42" t="str">
        <f>IF(ج_ح_مهر20[[#This Row],[نام]]&lt;&gt;"",ROW()-229+1,"")</f>
        <v/>
      </c>
      <c r="D240" s="43"/>
      <c r="E240" s="43"/>
      <c r="F240" s="44"/>
      <c r="G240" s="45"/>
      <c r="H240" s="46" t="str">
        <f>IF(ج_ح_مهر20[[#This Row],[کارکرد]]*ج_ح_مهر20[[#This Row],[دستمزد روزانه ]]=0,"",ج_ح_مهر20[[#This Row],[کارکرد]]*ج_ح_مهر20[[#This Row],[دستمزد روزانه ]])</f>
        <v/>
      </c>
      <c r="I240" s="47"/>
      <c r="J240" s="48">
        <f>(ج_ح_مهر20[[#This Row],[دستمزد روزانه ]]/7.33)*1.4*ج_ح_مهر20[[#This Row],[مدت اضافه کاری ]]</f>
        <v>0</v>
      </c>
      <c r="K240" s="46" t="str">
        <f>IF(ج_ح_مهر20[[#This Row],[کارکرد]]="","",ج_ح_مهر20[[#This Row],[کارکرد]]*حق_مسکن/30)</f>
        <v/>
      </c>
      <c r="L240" s="49"/>
      <c r="M240" s="46" t="str">
        <f>IF(ج_ح_مهر20[[#This Row],[تعداد فرزندان]]="","",ج_ح_مهر20[[#This Row],[کارکرد]]/30*3*ج_ح_مهر20[[#This Row],[تعداد فرزندان]]*حداقل_حقوق_پایه_روزانه)</f>
        <v/>
      </c>
      <c r="N240" s="46" t="str">
        <f>IF(ج_ح_مهر20[[#This Row],[کارکرد]]="","",ج_ح_مهر20[[#This Row],[کارکرد]]*حق_خواربار/30)</f>
        <v/>
      </c>
      <c r="O240" s="46" t="str">
        <f>IFERROR(ج_ح_مهر20[[#This Row],[حقوق پایه]]+ج_ح_مهر20[[#This Row],[اضافه کاری]]+ج_ح_مهر20[[#This Row],[حق مسکن]]+ج_ح_مهر20[[#This Row],[حق اولاد]]+ج_ح_مهر20[[#This Row],[حق و خواروبار]],"")</f>
        <v/>
      </c>
      <c r="P240"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40" s="46" t="str">
        <f>IFERROR(ج_ح_مهر20[[#This Row],[حقوق پایه]]+ج_ح_مهر20[[#This Row],[اضافه کاری]]-(2/7)*ج_ح_مهر20[[#This Row],[بیمه پرداختنی]],"")</f>
        <v/>
      </c>
      <c r="R240" s="45"/>
      <c r="S240" s="45"/>
      <c r="T240" s="46" t="str">
        <f>IFERROR(ج_ح_مهر20[[#This Row],[جمع ح و م م بیمه ]]*7%,"")</f>
        <v/>
      </c>
      <c r="U240"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40" s="46" t="str">
        <f>IFERROR(ج_ح_مهر20[[#This Row],[وام]]+ج_ح_مهر20[[#This Row],[مساعده]]+ج_ح_مهر20[[#This Row],[بیمه پرداختنی]]+ج_ح_مهر20[[#This Row],[مالیات پرداختنی]],"")</f>
        <v/>
      </c>
      <c r="W240" s="46" t="str">
        <f>IFERROR(ج_ح_مهر20[[#This Row],[جمع ح و م]]-ج_ح_مهر20[[#This Row],[جمع کسورات]],"")</f>
        <v/>
      </c>
    </row>
    <row r="241" spans="2:23" s="41" customFormat="1" ht="32.1" customHeight="1">
      <c r="B241" s="41">
        <f t="shared" si="5"/>
        <v>7</v>
      </c>
      <c r="C241" s="42" t="str">
        <f>IF(ج_ح_مهر20[[#This Row],[نام]]&lt;&gt;"",ROW()-229+1,"")</f>
        <v/>
      </c>
      <c r="D241" s="43"/>
      <c r="E241" s="43"/>
      <c r="F241" s="44"/>
      <c r="G241" s="45"/>
      <c r="H241" s="46" t="str">
        <f>IF(ج_ح_مهر20[[#This Row],[کارکرد]]*ج_ح_مهر20[[#This Row],[دستمزد روزانه ]]=0,"",ج_ح_مهر20[[#This Row],[کارکرد]]*ج_ح_مهر20[[#This Row],[دستمزد روزانه ]])</f>
        <v/>
      </c>
      <c r="I241" s="47"/>
      <c r="J241" s="48">
        <f>(ج_ح_مهر20[[#This Row],[دستمزد روزانه ]]/7.33)*1.4*ج_ح_مهر20[[#This Row],[مدت اضافه کاری ]]</f>
        <v>0</v>
      </c>
      <c r="K241" s="46" t="str">
        <f>IF(ج_ح_مهر20[[#This Row],[کارکرد]]="","",ج_ح_مهر20[[#This Row],[کارکرد]]*حق_مسکن/30)</f>
        <v/>
      </c>
      <c r="L241" s="49"/>
      <c r="M241" s="46" t="str">
        <f>IF(ج_ح_مهر20[[#This Row],[تعداد فرزندان]]="","",ج_ح_مهر20[[#This Row],[کارکرد]]/30*3*ج_ح_مهر20[[#This Row],[تعداد فرزندان]]*حداقل_حقوق_پایه_روزانه)</f>
        <v/>
      </c>
      <c r="N241" s="46" t="str">
        <f>IF(ج_ح_مهر20[[#This Row],[کارکرد]]="","",ج_ح_مهر20[[#This Row],[کارکرد]]*حق_خواربار/30)</f>
        <v/>
      </c>
      <c r="O241" s="46" t="str">
        <f>IFERROR(ج_ح_مهر20[[#This Row],[حقوق پایه]]+ج_ح_مهر20[[#This Row],[اضافه کاری]]+ج_ح_مهر20[[#This Row],[حق مسکن]]+ج_ح_مهر20[[#This Row],[حق اولاد]]+ج_ح_مهر20[[#This Row],[حق و خواروبار]],"")</f>
        <v/>
      </c>
      <c r="P241"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41" s="46" t="str">
        <f>IFERROR(ج_ح_مهر20[[#This Row],[حقوق پایه]]+ج_ح_مهر20[[#This Row],[اضافه کاری]]-(2/7)*ج_ح_مهر20[[#This Row],[بیمه پرداختنی]],"")</f>
        <v/>
      </c>
      <c r="R241" s="45"/>
      <c r="S241" s="45"/>
      <c r="T241" s="46" t="str">
        <f>IFERROR(ج_ح_مهر20[[#This Row],[جمع ح و م م بیمه ]]*7%,"")</f>
        <v/>
      </c>
      <c r="U241"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41" s="46" t="str">
        <f>IFERROR(ج_ح_مهر20[[#This Row],[وام]]+ج_ح_مهر20[[#This Row],[مساعده]]+ج_ح_مهر20[[#This Row],[بیمه پرداختنی]]+ج_ح_مهر20[[#This Row],[مالیات پرداختنی]],"")</f>
        <v/>
      </c>
      <c r="W241" s="46" t="str">
        <f>IFERROR(ج_ح_مهر20[[#This Row],[جمع ح و م]]-ج_ح_مهر20[[#This Row],[جمع کسورات]],"")</f>
        <v/>
      </c>
    </row>
    <row r="242" spans="2:23" s="41" customFormat="1" ht="32.1" customHeight="1">
      <c r="B242" s="41">
        <f t="shared" si="5"/>
        <v>7</v>
      </c>
      <c r="C242" s="42" t="str">
        <f>IF(ج_ح_مهر20[[#This Row],[نام]]&lt;&gt;"",ROW()-229+1,"")</f>
        <v/>
      </c>
      <c r="D242" s="43"/>
      <c r="E242" s="43"/>
      <c r="F242" s="44"/>
      <c r="G242" s="45"/>
      <c r="H242" s="46" t="str">
        <f>IF(ج_ح_مهر20[[#This Row],[کارکرد]]*ج_ح_مهر20[[#This Row],[دستمزد روزانه ]]=0,"",ج_ح_مهر20[[#This Row],[کارکرد]]*ج_ح_مهر20[[#This Row],[دستمزد روزانه ]])</f>
        <v/>
      </c>
      <c r="I242" s="47"/>
      <c r="J242" s="48">
        <f>(ج_ح_مهر20[[#This Row],[دستمزد روزانه ]]/7.33)*1.4*ج_ح_مهر20[[#This Row],[مدت اضافه کاری ]]</f>
        <v>0</v>
      </c>
      <c r="K242" s="46" t="str">
        <f>IF(ج_ح_مهر20[[#This Row],[کارکرد]]="","",ج_ح_مهر20[[#This Row],[کارکرد]]*حق_مسکن/30)</f>
        <v/>
      </c>
      <c r="L242" s="49"/>
      <c r="M242" s="46" t="str">
        <f>IF(ج_ح_مهر20[[#This Row],[تعداد فرزندان]]="","",ج_ح_مهر20[[#This Row],[کارکرد]]/30*3*ج_ح_مهر20[[#This Row],[تعداد فرزندان]]*حداقل_حقوق_پایه_روزانه)</f>
        <v/>
      </c>
      <c r="N242" s="46" t="str">
        <f>IF(ج_ح_مهر20[[#This Row],[کارکرد]]="","",ج_ح_مهر20[[#This Row],[کارکرد]]*حق_خواربار/30)</f>
        <v/>
      </c>
      <c r="O242" s="46" t="str">
        <f>IFERROR(ج_ح_مهر20[[#This Row],[حقوق پایه]]+ج_ح_مهر20[[#This Row],[اضافه کاری]]+ج_ح_مهر20[[#This Row],[حق مسکن]]+ج_ح_مهر20[[#This Row],[حق اولاد]]+ج_ح_مهر20[[#This Row],[حق و خواروبار]],"")</f>
        <v/>
      </c>
      <c r="P242"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42" s="46" t="str">
        <f>IFERROR(ج_ح_مهر20[[#This Row],[حقوق پایه]]+ج_ح_مهر20[[#This Row],[اضافه کاری]]-(2/7)*ج_ح_مهر20[[#This Row],[بیمه پرداختنی]],"")</f>
        <v/>
      </c>
      <c r="R242" s="45"/>
      <c r="S242" s="45"/>
      <c r="T242" s="46" t="str">
        <f>IFERROR(ج_ح_مهر20[[#This Row],[جمع ح و م م بیمه ]]*7%,"")</f>
        <v/>
      </c>
      <c r="U242"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42" s="46" t="str">
        <f>IFERROR(ج_ح_مهر20[[#This Row],[وام]]+ج_ح_مهر20[[#This Row],[مساعده]]+ج_ح_مهر20[[#This Row],[بیمه پرداختنی]]+ج_ح_مهر20[[#This Row],[مالیات پرداختنی]],"")</f>
        <v/>
      </c>
      <c r="W242" s="46" t="str">
        <f>IFERROR(ج_ح_مهر20[[#This Row],[جمع ح و م]]-ج_ح_مهر20[[#This Row],[جمع کسورات]],"")</f>
        <v/>
      </c>
    </row>
    <row r="243" spans="2:23" s="41" customFormat="1" ht="32.1" customHeight="1">
      <c r="B243" s="41">
        <f t="shared" si="5"/>
        <v>7</v>
      </c>
      <c r="C243" s="42" t="str">
        <f>IF(ج_ح_مهر20[[#This Row],[نام]]&lt;&gt;"",ROW()-229+1,"")</f>
        <v/>
      </c>
      <c r="D243" s="43"/>
      <c r="E243" s="43"/>
      <c r="F243" s="44"/>
      <c r="G243" s="45"/>
      <c r="H243" s="46" t="str">
        <f>IF(ج_ح_مهر20[[#This Row],[کارکرد]]*ج_ح_مهر20[[#This Row],[دستمزد روزانه ]]=0,"",ج_ح_مهر20[[#This Row],[کارکرد]]*ج_ح_مهر20[[#This Row],[دستمزد روزانه ]])</f>
        <v/>
      </c>
      <c r="I243" s="47"/>
      <c r="J243" s="48">
        <f>(ج_ح_مهر20[[#This Row],[دستمزد روزانه ]]/7.33)*1.4*ج_ح_مهر20[[#This Row],[مدت اضافه کاری ]]</f>
        <v>0</v>
      </c>
      <c r="K243" s="46" t="str">
        <f>IF(ج_ح_مهر20[[#This Row],[کارکرد]]="","",ج_ح_مهر20[[#This Row],[کارکرد]]*حق_مسکن/30)</f>
        <v/>
      </c>
      <c r="L243" s="49"/>
      <c r="M243" s="46" t="str">
        <f>IF(ج_ح_مهر20[[#This Row],[تعداد فرزندان]]="","",ج_ح_مهر20[[#This Row],[کارکرد]]/30*3*ج_ح_مهر20[[#This Row],[تعداد فرزندان]]*حداقل_حقوق_پایه_روزانه)</f>
        <v/>
      </c>
      <c r="N243" s="46" t="str">
        <f>IF(ج_ح_مهر20[[#This Row],[کارکرد]]="","",ج_ح_مهر20[[#This Row],[کارکرد]]*حق_خواربار/30)</f>
        <v/>
      </c>
      <c r="O243" s="46" t="str">
        <f>IFERROR(ج_ح_مهر20[[#This Row],[حقوق پایه]]+ج_ح_مهر20[[#This Row],[اضافه کاری]]+ج_ح_مهر20[[#This Row],[حق مسکن]]+ج_ح_مهر20[[#This Row],[حق اولاد]]+ج_ح_مهر20[[#This Row],[حق و خواروبار]],"")</f>
        <v/>
      </c>
      <c r="P243"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43" s="46" t="str">
        <f>IFERROR(ج_ح_مهر20[[#This Row],[حقوق پایه]]+ج_ح_مهر20[[#This Row],[اضافه کاری]]-(2/7)*ج_ح_مهر20[[#This Row],[بیمه پرداختنی]],"")</f>
        <v/>
      </c>
      <c r="R243" s="45"/>
      <c r="S243" s="45"/>
      <c r="T243" s="46" t="str">
        <f>IFERROR(ج_ح_مهر20[[#This Row],[جمع ح و م م بیمه ]]*7%,"")</f>
        <v/>
      </c>
      <c r="U243"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43" s="46" t="str">
        <f>IFERROR(ج_ح_مهر20[[#This Row],[وام]]+ج_ح_مهر20[[#This Row],[مساعده]]+ج_ح_مهر20[[#This Row],[بیمه پرداختنی]]+ج_ح_مهر20[[#This Row],[مالیات پرداختنی]],"")</f>
        <v/>
      </c>
      <c r="W243" s="46" t="str">
        <f>IFERROR(ج_ح_مهر20[[#This Row],[جمع ح و م]]-ج_ح_مهر20[[#This Row],[جمع کسورات]],"")</f>
        <v/>
      </c>
    </row>
    <row r="244" spans="2:23" s="41" customFormat="1" ht="32.1" customHeight="1">
      <c r="B244" s="41">
        <f t="shared" si="5"/>
        <v>7</v>
      </c>
      <c r="C244" s="42" t="str">
        <f>IF(ج_ح_مهر20[[#This Row],[نام]]&lt;&gt;"",ROW()-229+1,"")</f>
        <v/>
      </c>
      <c r="D244" s="43"/>
      <c r="E244" s="43"/>
      <c r="F244" s="44"/>
      <c r="G244" s="45"/>
      <c r="H244" s="46" t="str">
        <f>IF(ج_ح_مهر20[[#This Row],[کارکرد]]*ج_ح_مهر20[[#This Row],[دستمزد روزانه ]]=0,"",ج_ح_مهر20[[#This Row],[کارکرد]]*ج_ح_مهر20[[#This Row],[دستمزد روزانه ]])</f>
        <v/>
      </c>
      <c r="I244" s="47"/>
      <c r="J244" s="48">
        <f>(ج_ح_مهر20[[#This Row],[دستمزد روزانه ]]/7.33)*1.4*ج_ح_مهر20[[#This Row],[مدت اضافه کاری ]]</f>
        <v>0</v>
      </c>
      <c r="K244" s="46" t="str">
        <f>IF(ج_ح_مهر20[[#This Row],[کارکرد]]="","",ج_ح_مهر20[[#This Row],[کارکرد]]*حق_مسکن/30)</f>
        <v/>
      </c>
      <c r="L244" s="49"/>
      <c r="M244" s="46" t="str">
        <f>IF(ج_ح_مهر20[[#This Row],[تعداد فرزندان]]="","",ج_ح_مهر20[[#This Row],[کارکرد]]/30*3*ج_ح_مهر20[[#This Row],[تعداد فرزندان]]*حداقل_حقوق_پایه_روزانه)</f>
        <v/>
      </c>
      <c r="N244" s="46" t="str">
        <f>IF(ج_ح_مهر20[[#This Row],[کارکرد]]="","",ج_ح_مهر20[[#This Row],[کارکرد]]*حق_خواربار/30)</f>
        <v/>
      </c>
      <c r="O244" s="46" t="str">
        <f>IFERROR(ج_ح_مهر20[[#This Row],[حقوق پایه]]+ج_ح_مهر20[[#This Row],[اضافه کاری]]+ج_ح_مهر20[[#This Row],[حق مسکن]]+ج_ح_مهر20[[#This Row],[حق اولاد]]+ج_ح_مهر20[[#This Row],[حق و خواروبار]],"")</f>
        <v/>
      </c>
      <c r="P244"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44" s="46" t="str">
        <f>IFERROR(ج_ح_مهر20[[#This Row],[حقوق پایه]]+ج_ح_مهر20[[#This Row],[اضافه کاری]]-(2/7)*ج_ح_مهر20[[#This Row],[بیمه پرداختنی]],"")</f>
        <v/>
      </c>
      <c r="R244" s="45"/>
      <c r="S244" s="45"/>
      <c r="T244" s="46" t="str">
        <f>IFERROR(ج_ح_مهر20[[#This Row],[جمع ح و م م بیمه ]]*7%,"")</f>
        <v/>
      </c>
      <c r="U244"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44" s="46" t="str">
        <f>IFERROR(ج_ح_مهر20[[#This Row],[وام]]+ج_ح_مهر20[[#This Row],[مساعده]]+ج_ح_مهر20[[#This Row],[بیمه پرداختنی]]+ج_ح_مهر20[[#This Row],[مالیات پرداختنی]],"")</f>
        <v/>
      </c>
      <c r="W244" s="46" t="str">
        <f>IFERROR(ج_ح_مهر20[[#This Row],[جمع ح و م]]-ج_ح_مهر20[[#This Row],[جمع کسورات]],"")</f>
        <v/>
      </c>
    </row>
    <row r="245" spans="2:23" s="41" customFormat="1" ht="32.1" customHeight="1">
      <c r="B245" s="41">
        <f t="shared" si="5"/>
        <v>7</v>
      </c>
      <c r="C245" s="42" t="str">
        <f>IF(ج_ح_مهر20[[#This Row],[نام]]&lt;&gt;"",ROW()-229+1,"")</f>
        <v/>
      </c>
      <c r="D245" s="43"/>
      <c r="E245" s="43"/>
      <c r="F245" s="44"/>
      <c r="G245" s="45"/>
      <c r="H245" s="46" t="str">
        <f>IF(ج_ح_مهر20[[#This Row],[کارکرد]]*ج_ح_مهر20[[#This Row],[دستمزد روزانه ]]=0,"",ج_ح_مهر20[[#This Row],[کارکرد]]*ج_ح_مهر20[[#This Row],[دستمزد روزانه ]])</f>
        <v/>
      </c>
      <c r="I245" s="47"/>
      <c r="J245" s="48">
        <f>(ج_ح_مهر20[[#This Row],[دستمزد روزانه ]]/7.33)*1.4*ج_ح_مهر20[[#This Row],[مدت اضافه کاری ]]</f>
        <v>0</v>
      </c>
      <c r="K245" s="46" t="str">
        <f>IF(ج_ح_مهر20[[#This Row],[کارکرد]]="","",ج_ح_مهر20[[#This Row],[کارکرد]]*حق_مسکن/30)</f>
        <v/>
      </c>
      <c r="L245" s="49"/>
      <c r="M245" s="46" t="str">
        <f>IF(ج_ح_مهر20[[#This Row],[تعداد فرزندان]]="","",ج_ح_مهر20[[#This Row],[کارکرد]]/30*3*ج_ح_مهر20[[#This Row],[تعداد فرزندان]]*حداقل_حقوق_پایه_روزانه)</f>
        <v/>
      </c>
      <c r="N245" s="46" t="str">
        <f>IF(ج_ح_مهر20[[#This Row],[کارکرد]]="","",ج_ح_مهر20[[#This Row],[کارکرد]]*حق_خواربار/30)</f>
        <v/>
      </c>
      <c r="O245" s="46" t="str">
        <f>IFERROR(ج_ح_مهر20[[#This Row],[حقوق پایه]]+ج_ح_مهر20[[#This Row],[اضافه کاری]]+ج_ح_مهر20[[#This Row],[حق مسکن]]+ج_ح_مهر20[[#This Row],[حق اولاد]]+ج_ح_مهر20[[#This Row],[حق و خواروبار]],"")</f>
        <v/>
      </c>
      <c r="P245"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45" s="46" t="str">
        <f>IFERROR(ج_ح_مهر20[[#This Row],[حقوق پایه]]+ج_ح_مهر20[[#This Row],[اضافه کاری]]-(2/7)*ج_ح_مهر20[[#This Row],[بیمه پرداختنی]],"")</f>
        <v/>
      </c>
      <c r="R245" s="45"/>
      <c r="S245" s="45"/>
      <c r="T245" s="46" t="str">
        <f>IFERROR(ج_ح_مهر20[[#This Row],[جمع ح و م م بیمه ]]*7%,"")</f>
        <v/>
      </c>
      <c r="U245"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45" s="46" t="str">
        <f>IFERROR(ج_ح_مهر20[[#This Row],[وام]]+ج_ح_مهر20[[#This Row],[مساعده]]+ج_ح_مهر20[[#This Row],[بیمه پرداختنی]]+ج_ح_مهر20[[#This Row],[مالیات پرداختنی]],"")</f>
        <v/>
      </c>
      <c r="W245" s="46" t="str">
        <f>IFERROR(ج_ح_مهر20[[#This Row],[جمع ح و م]]-ج_ح_مهر20[[#This Row],[جمع کسورات]],"")</f>
        <v/>
      </c>
    </row>
    <row r="246" spans="2:23" s="41" customFormat="1" ht="32.1" customHeight="1">
      <c r="B246" s="41">
        <f t="shared" si="5"/>
        <v>7</v>
      </c>
      <c r="C246" s="42" t="str">
        <f>IF(ج_ح_مهر20[[#This Row],[نام]]&lt;&gt;"",ROW()-229+1,"")</f>
        <v/>
      </c>
      <c r="D246" s="43"/>
      <c r="E246" s="43"/>
      <c r="F246" s="44"/>
      <c r="G246" s="45"/>
      <c r="H246" s="46" t="str">
        <f>IF(ج_ح_مهر20[[#This Row],[کارکرد]]*ج_ح_مهر20[[#This Row],[دستمزد روزانه ]]=0,"",ج_ح_مهر20[[#This Row],[کارکرد]]*ج_ح_مهر20[[#This Row],[دستمزد روزانه ]])</f>
        <v/>
      </c>
      <c r="I246" s="47"/>
      <c r="J246" s="48">
        <f>(ج_ح_مهر20[[#This Row],[دستمزد روزانه ]]/7.33)*1.4*ج_ح_مهر20[[#This Row],[مدت اضافه کاری ]]</f>
        <v>0</v>
      </c>
      <c r="K246" s="46" t="str">
        <f>IF(ج_ح_مهر20[[#This Row],[کارکرد]]="","",ج_ح_مهر20[[#This Row],[کارکرد]]*حق_مسکن/30)</f>
        <v/>
      </c>
      <c r="L246" s="49"/>
      <c r="M246" s="46" t="str">
        <f>IF(ج_ح_مهر20[[#This Row],[تعداد فرزندان]]="","",ج_ح_مهر20[[#This Row],[کارکرد]]/30*3*ج_ح_مهر20[[#This Row],[تعداد فرزندان]]*حداقل_حقوق_پایه_روزانه)</f>
        <v/>
      </c>
      <c r="N246" s="46" t="str">
        <f>IF(ج_ح_مهر20[[#This Row],[کارکرد]]="","",ج_ح_مهر20[[#This Row],[کارکرد]]*حق_خواربار/30)</f>
        <v/>
      </c>
      <c r="O246" s="46" t="str">
        <f>IFERROR(ج_ح_مهر20[[#This Row],[حقوق پایه]]+ج_ح_مهر20[[#This Row],[اضافه کاری]]+ج_ح_مهر20[[#This Row],[حق مسکن]]+ج_ح_مهر20[[#This Row],[حق اولاد]]+ج_ح_مهر20[[#This Row],[حق و خواروبار]],"")</f>
        <v/>
      </c>
      <c r="P246"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46" s="46" t="str">
        <f>IFERROR(ج_ح_مهر20[[#This Row],[حقوق پایه]]+ج_ح_مهر20[[#This Row],[اضافه کاری]]-(2/7)*ج_ح_مهر20[[#This Row],[بیمه پرداختنی]],"")</f>
        <v/>
      </c>
      <c r="R246" s="45"/>
      <c r="S246" s="45"/>
      <c r="T246" s="46" t="str">
        <f>IFERROR(ج_ح_مهر20[[#This Row],[جمع ح و م م بیمه ]]*7%,"")</f>
        <v/>
      </c>
      <c r="U246"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46" s="46" t="str">
        <f>IFERROR(ج_ح_مهر20[[#This Row],[وام]]+ج_ح_مهر20[[#This Row],[مساعده]]+ج_ح_مهر20[[#This Row],[بیمه پرداختنی]]+ج_ح_مهر20[[#This Row],[مالیات پرداختنی]],"")</f>
        <v/>
      </c>
      <c r="W246" s="46" t="str">
        <f>IFERROR(ج_ح_مهر20[[#This Row],[جمع ح و م]]-ج_ح_مهر20[[#This Row],[جمع کسورات]],"")</f>
        <v/>
      </c>
    </row>
    <row r="247" spans="2:23" s="41" customFormat="1" ht="32.1" customHeight="1">
      <c r="B247" s="41">
        <f t="shared" si="5"/>
        <v>7</v>
      </c>
      <c r="C247" s="42" t="str">
        <f>IF(ج_ح_مهر20[[#This Row],[نام]]&lt;&gt;"",ROW()-229+1,"")</f>
        <v/>
      </c>
      <c r="D247" s="43"/>
      <c r="E247" s="43"/>
      <c r="F247" s="44"/>
      <c r="G247" s="45"/>
      <c r="H247" s="46" t="str">
        <f>IF(ج_ح_مهر20[[#This Row],[کارکرد]]*ج_ح_مهر20[[#This Row],[دستمزد روزانه ]]=0,"",ج_ح_مهر20[[#This Row],[کارکرد]]*ج_ح_مهر20[[#This Row],[دستمزد روزانه ]])</f>
        <v/>
      </c>
      <c r="I247" s="47"/>
      <c r="J247" s="48">
        <f>(ج_ح_مهر20[[#This Row],[دستمزد روزانه ]]/7.33)*1.4*ج_ح_مهر20[[#This Row],[مدت اضافه کاری ]]</f>
        <v>0</v>
      </c>
      <c r="K247" s="46" t="str">
        <f>IF(ج_ح_مهر20[[#This Row],[کارکرد]]="","",ج_ح_مهر20[[#This Row],[کارکرد]]*حق_مسکن/30)</f>
        <v/>
      </c>
      <c r="L247" s="49"/>
      <c r="M247" s="46" t="str">
        <f>IF(ج_ح_مهر20[[#This Row],[تعداد فرزندان]]="","",ج_ح_مهر20[[#This Row],[کارکرد]]/30*3*ج_ح_مهر20[[#This Row],[تعداد فرزندان]]*حداقل_حقوق_پایه_روزانه)</f>
        <v/>
      </c>
      <c r="N247" s="46" t="str">
        <f>IF(ج_ح_مهر20[[#This Row],[کارکرد]]="","",ج_ح_مهر20[[#This Row],[کارکرد]]*حق_خواربار/30)</f>
        <v/>
      </c>
      <c r="O247" s="46" t="str">
        <f>IFERROR(ج_ح_مهر20[[#This Row],[حقوق پایه]]+ج_ح_مهر20[[#This Row],[اضافه کاری]]+ج_ح_مهر20[[#This Row],[حق مسکن]]+ج_ح_مهر20[[#This Row],[حق اولاد]]+ج_ح_مهر20[[#This Row],[حق و خواروبار]],"")</f>
        <v/>
      </c>
      <c r="P247"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47" s="46" t="str">
        <f>IFERROR(ج_ح_مهر20[[#This Row],[حقوق پایه]]+ج_ح_مهر20[[#This Row],[اضافه کاری]]-(2/7)*ج_ح_مهر20[[#This Row],[بیمه پرداختنی]],"")</f>
        <v/>
      </c>
      <c r="R247" s="45"/>
      <c r="S247" s="45"/>
      <c r="T247" s="46" t="str">
        <f>IFERROR(ج_ح_مهر20[[#This Row],[جمع ح و م م بیمه ]]*7%,"")</f>
        <v/>
      </c>
      <c r="U247"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47" s="46" t="str">
        <f>IFERROR(ج_ح_مهر20[[#This Row],[وام]]+ج_ح_مهر20[[#This Row],[مساعده]]+ج_ح_مهر20[[#This Row],[بیمه پرداختنی]]+ج_ح_مهر20[[#This Row],[مالیات پرداختنی]],"")</f>
        <v/>
      </c>
      <c r="W247" s="46" t="str">
        <f>IFERROR(ج_ح_مهر20[[#This Row],[جمع ح و م]]-ج_ح_مهر20[[#This Row],[جمع کسورات]],"")</f>
        <v/>
      </c>
    </row>
    <row r="248" spans="2:23" s="41" customFormat="1" ht="32.1" customHeight="1">
      <c r="B248" s="41">
        <f t="shared" si="5"/>
        <v>7</v>
      </c>
      <c r="C248" s="42" t="str">
        <f>IF(ج_ح_مهر20[[#This Row],[نام]]&lt;&gt;"",ROW()-229+1,"")</f>
        <v/>
      </c>
      <c r="D248" s="43"/>
      <c r="E248" s="43"/>
      <c r="F248" s="44"/>
      <c r="G248" s="45"/>
      <c r="H248" s="46" t="str">
        <f>IF(ج_ح_مهر20[[#This Row],[کارکرد]]*ج_ح_مهر20[[#This Row],[دستمزد روزانه ]]=0,"",ج_ح_مهر20[[#This Row],[کارکرد]]*ج_ح_مهر20[[#This Row],[دستمزد روزانه ]])</f>
        <v/>
      </c>
      <c r="I248" s="47"/>
      <c r="J248" s="48">
        <f>(ج_ح_مهر20[[#This Row],[دستمزد روزانه ]]/7.33)*1.4*ج_ح_مهر20[[#This Row],[مدت اضافه کاری ]]</f>
        <v>0</v>
      </c>
      <c r="K248" s="46" t="str">
        <f>IF(ج_ح_مهر20[[#This Row],[کارکرد]]="","",ج_ح_مهر20[[#This Row],[کارکرد]]*حق_مسکن/30)</f>
        <v/>
      </c>
      <c r="L248" s="49"/>
      <c r="M248" s="46" t="str">
        <f>IF(ج_ح_مهر20[[#This Row],[تعداد فرزندان]]="","",ج_ح_مهر20[[#This Row],[کارکرد]]/30*3*ج_ح_مهر20[[#This Row],[تعداد فرزندان]]*حداقل_حقوق_پایه_روزانه)</f>
        <v/>
      </c>
      <c r="N248" s="46" t="str">
        <f>IF(ج_ح_مهر20[[#This Row],[کارکرد]]="","",ج_ح_مهر20[[#This Row],[کارکرد]]*حق_خواربار/30)</f>
        <v/>
      </c>
      <c r="O248" s="46" t="str">
        <f>IFERROR(ج_ح_مهر20[[#This Row],[حقوق پایه]]+ج_ح_مهر20[[#This Row],[اضافه کاری]]+ج_ح_مهر20[[#This Row],[حق مسکن]]+ج_ح_مهر20[[#This Row],[حق اولاد]]+ج_ح_مهر20[[#This Row],[حق و خواروبار]],"")</f>
        <v/>
      </c>
      <c r="P248"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48" s="46" t="str">
        <f>IFERROR(ج_ح_مهر20[[#This Row],[حقوق پایه]]+ج_ح_مهر20[[#This Row],[اضافه کاری]]-(2/7)*ج_ح_مهر20[[#This Row],[بیمه پرداختنی]],"")</f>
        <v/>
      </c>
      <c r="R248" s="45"/>
      <c r="S248" s="45"/>
      <c r="T248" s="46" t="str">
        <f>IFERROR(ج_ح_مهر20[[#This Row],[جمع ح و م م بیمه ]]*7%,"")</f>
        <v/>
      </c>
      <c r="U248"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48" s="46" t="str">
        <f>IFERROR(ج_ح_مهر20[[#This Row],[وام]]+ج_ح_مهر20[[#This Row],[مساعده]]+ج_ح_مهر20[[#This Row],[بیمه پرداختنی]]+ج_ح_مهر20[[#This Row],[مالیات پرداختنی]],"")</f>
        <v/>
      </c>
      <c r="W248" s="46" t="str">
        <f>IFERROR(ج_ح_مهر20[[#This Row],[جمع ح و م]]-ج_ح_مهر20[[#This Row],[جمع کسورات]],"")</f>
        <v/>
      </c>
    </row>
    <row r="249" spans="2:23" s="41" customFormat="1" ht="32.1" customHeight="1">
      <c r="B249" s="41">
        <f t="shared" si="5"/>
        <v>7</v>
      </c>
      <c r="C249" s="42" t="str">
        <f>IF(ج_ح_مهر20[[#This Row],[نام]]&lt;&gt;"",ROW()-229+1,"")</f>
        <v/>
      </c>
      <c r="D249" s="43"/>
      <c r="E249" s="43"/>
      <c r="F249" s="44"/>
      <c r="G249" s="45"/>
      <c r="H249" s="46" t="str">
        <f>IF(ج_ح_مهر20[[#This Row],[کارکرد]]*ج_ح_مهر20[[#This Row],[دستمزد روزانه ]]=0,"",ج_ح_مهر20[[#This Row],[کارکرد]]*ج_ح_مهر20[[#This Row],[دستمزد روزانه ]])</f>
        <v/>
      </c>
      <c r="I249" s="47"/>
      <c r="J249" s="48">
        <f>(ج_ح_مهر20[[#This Row],[دستمزد روزانه ]]/7.33)*1.4*ج_ح_مهر20[[#This Row],[مدت اضافه کاری ]]</f>
        <v>0</v>
      </c>
      <c r="K249" s="46" t="str">
        <f>IF(ج_ح_مهر20[[#This Row],[کارکرد]]="","",ج_ح_مهر20[[#This Row],[کارکرد]]*حق_مسکن/30)</f>
        <v/>
      </c>
      <c r="L249" s="49"/>
      <c r="M249" s="46" t="str">
        <f>IF(ج_ح_مهر20[[#This Row],[تعداد فرزندان]]="","",ج_ح_مهر20[[#This Row],[کارکرد]]/30*3*ج_ح_مهر20[[#This Row],[تعداد فرزندان]]*حداقل_حقوق_پایه_روزانه)</f>
        <v/>
      </c>
      <c r="N249" s="46" t="str">
        <f>IF(ج_ح_مهر20[[#This Row],[کارکرد]]="","",ج_ح_مهر20[[#This Row],[کارکرد]]*حق_خواربار/30)</f>
        <v/>
      </c>
      <c r="O249" s="46" t="str">
        <f>IFERROR(ج_ح_مهر20[[#This Row],[حقوق پایه]]+ج_ح_مهر20[[#This Row],[اضافه کاری]]+ج_ح_مهر20[[#This Row],[حق مسکن]]+ج_ح_مهر20[[#This Row],[حق اولاد]]+ج_ح_مهر20[[#This Row],[حق و خواروبار]],"")</f>
        <v/>
      </c>
      <c r="P249"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49" s="46" t="str">
        <f>IFERROR(ج_ح_مهر20[[#This Row],[حقوق پایه]]+ج_ح_مهر20[[#This Row],[اضافه کاری]]-(2/7)*ج_ح_مهر20[[#This Row],[بیمه پرداختنی]],"")</f>
        <v/>
      </c>
      <c r="R249" s="45"/>
      <c r="S249" s="45"/>
      <c r="T249" s="46" t="str">
        <f>IFERROR(ج_ح_مهر20[[#This Row],[جمع ح و م م بیمه ]]*7%,"")</f>
        <v/>
      </c>
      <c r="U249"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49" s="46" t="str">
        <f>IFERROR(ج_ح_مهر20[[#This Row],[وام]]+ج_ح_مهر20[[#This Row],[مساعده]]+ج_ح_مهر20[[#This Row],[بیمه پرداختنی]]+ج_ح_مهر20[[#This Row],[مالیات پرداختنی]],"")</f>
        <v/>
      </c>
      <c r="W249" s="46" t="str">
        <f>IFERROR(ج_ح_مهر20[[#This Row],[جمع ح و م]]-ج_ح_مهر20[[#This Row],[جمع کسورات]],"")</f>
        <v/>
      </c>
    </row>
    <row r="250" spans="2:23" s="41" customFormat="1" ht="32.1" customHeight="1">
      <c r="B250" s="41">
        <f t="shared" si="5"/>
        <v>7</v>
      </c>
      <c r="C250" s="42" t="str">
        <f>IF(ج_ح_مهر20[[#This Row],[نام]]&lt;&gt;"",ROW()-229+1,"")</f>
        <v/>
      </c>
      <c r="D250" s="43"/>
      <c r="E250" s="43"/>
      <c r="F250" s="44"/>
      <c r="G250" s="45"/>
      <c r="H250" s="46" t="str">
        <f>IF(ج_ح_مهر20[[#This Row],[کارکرد]]*ج_ح_مهر20[[#This Row],[دستمزد روزانه ]]=0,"",ج_ح_مهر20[[#This Row],[کارکرد]]*ج_ح_مهر20[[#This Row],[دستمزد روزانه ]])</f>
        <v/>
      </c>
      <c r="I250" s="47"/>
      <c r="J250" s="48">
        <f>(ج_ح_مهر20[[#This Row],[دستمزد روزانه ]]/7.33)*1.4*ج_ح_مهر20[[#This Row],[مدت اضافه کاری ]]</f>
        <v>0</v>
      </c>
      <c r="K250" s="46" t="str">
        <f>IF(ج_ح_مهر20[[#This Row],[کارکرد]]="","",ج_ح_مهر20[[#This Row],[کارکرد]]*حق_مسکن/30)</f>
        <v/>
      </c>
      <c r="L250" s="49"/>
      <c r="M250" s="46" t="str">
        <f>IF(ج_ح_مهر20[[#This Row],[تعداد فرزندان]]="","",ج_ح_مهر20[[#This Row],[کارکرد]]/30*3*ج_ح_مهر20[[#This Row],[تعداد فرزندان]]*حداقل_حقوق_پایه_روزانه)</f>
        <v/>
      </c>
      <c r="N250" s="46" t="str">
        <f>IF(ج_ح_مهر20[[#This Row],[کارکرد]]="","",ج_ح_مهر20[[#This Row],[کارکرد]]*حق_خواربار/30)</f>
        <v/>
      </c>
      <c r="O250" s="46" t="str">
        <f>IFERROR(ج_ح_مهر20[[#This Row],[حقوق پایه]]+ج_ح_مهر20[[#This Row],[اضافه کاری]]+ج_ح_مهر20[[#This Row],[حق مسکن]]+ج_ح_مهر20[[#This Row],[حق اولاد]]+ج_ح_مهر20[[#This Row],[حق و خواروبار]],"")</f>
        <v/>
      </c>
      <c r="P250"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50" s="46" t="str">
        <f>IFERROR(ج_ح_مهر20[[#This Row],[حقوق پایه]]+ج_ح_مهر20[[#This Row],[اضافه کاری]]-(2/7)*ج_ح_مهر20[[#This Row],[بیمه پرداختنی]],"")</f>
        <v/>
      </c>
      <c r="R250" s="45"/>
      <c r="S250" s="45"/>
      <c r="T250" s="46" t="str">
        <f>IFERROR(ج_ح_مهر20[[#This Row],[جمع ح و م م بیمه ]]*7%,"")</f>
        <v/>
      </c>
      <c r="U250"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50" s="46" t="str">
        <f>IFERROR(ج_ح_مهر20[[#This Row],[وام]]+ج_ح_مهر20[[#This Row],[مساعده]]+ج_ح_مهر20[[#This Row],[بیمه پرداختنی]]+ج_ح_مهر20[[#This Row],[مالیات پرداختنی]],"")</f>
        <v/>
      </c>
      <c r="W250" s="46" t="str">
        <f>IFERROR(ج_ح_مهر20[[#This Row],[جمع ح و م]]-ج_ح_مهر20[[#This Row],[جمع کسورات]],"")</f>
        <v/>
      </c>
    </row>
    <row r="251" spans="2:23" s="41" customFormat="1" ht="32.1" customHeight="1">
      <c r="B251" s="41">
        <f t="shared" si="5"/>
        <v>7</v>
      </c>
      <c r="C251" s="42" t="str">
        <f>IF(ج_ح_مهر20[[#This Row],[نام]]&lt;&gt;"",ROW()-229+1,"")</f>
        <v/>
      </c>
      <c r="D251" s="43"/>
      <c r="E251" s="43"/>
      <c r="F251" s="44"/>
      <c r="G251" s="45"/>
      <c r="H251" s="46" t="str">
        <f>IF(ج_ح_مهر20[[#This Row],[کارکرد]]*ج_ح_مهر20[[#This Row],[دستمزد روزانه ]]=0,"",ج_ح_مهر20[[#This Row],[کارکرد]]*ج_ح_مهر20[[#This Row],[دستمزد روزانه ]])</f>
        <v/>
      </c>
      <c r="I251" s="47"/>
      <c r="J251" s="48">
        <f>(ج_ح_مهر20[[#This Row],[دستمزد روزانه ]]/7.33)*1.4*ج_ح_مهر20[[#This Row],[مدت اضافه کاری ]]</f>
        <v>0</v>
      </c>
      <c r="K251" s="46" t="str">
        <f>IF(ج_ح_مهر20[[#This Row],[کارکرد]]="","",ج_ح_مهر20[[#This Row],[کارکرد]]*حق_مسکن/30)</f>
        <v/>
      </c>
      <c r="L251" s="49"/>
      <c r="M251" s="46" t="str">
        <f>IF(ج_ح_مهر20[[#This Row],[تعداد فرزندان]]="","",ج_ح_مهر20[[#This Row],[کارکرد]]/30*3*ج_ح_مهر20[[#This Row],[تعداد فرزندان]]*حداقل_حقوق_پایه_روزانه)</f>
        <v/>
      </c>
      <c r="N251" s="46" t="str">
        <f>IF(ج_ح_مهر20[[#This Row],[کارکرد]]="","",ج_ح_مهر20[[#This Row],[کارکرد]]*حق_خواربار/30)</f>
        <v/>
      </c>
      <c r="O251" s="46" t="str">
        <f>IFERROR(ج_ح_مهر20[[#This Row],[حقوق پایه]]+ج_ح_مهر20[[#This Row],[اضافه کاری]]+ج_ح_مهر20[[#This Row],[حق مسکن]]+ج_ح_مهر20[[#This Row],[حق اولاد]]+ج_ح_مهر20[[#This Row],[حق و خواروبار]],"")</f>
        <v/>
      </c>
      <c r="P251"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51" s="46" t="str">
        <f>IFERROR(ج_ح_مهر20[[#This Row],[حقوق پایه]]+ج_ح_مهر20[[#This Row],[اضافه کاری]]-(2/7)*ج_ح_مهر20[[#This Row],[بیمه پرداختنی]],"")</f>
        <v/>
      </c>
      <c r="R251" s="45"/>
      <c r="S251" s="45"/>
      <c r="T251" s="46" t="str">
        <f>IFERROR(ج_ح_مهر20[[#This Row],[جمع ح و م م بیمه ]]*7%,"")</f>
        <v/>
      </c>
      <c r="U251"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51" s="46" t="str">
        <f>IFERROR(ج_ح_مهر20[[#This Row],[وام]]+ج_ح_مهر20[[#This Row],[مساعده]]+ج_ح_مهر20[[#This Row],[بیمه پرداختنی]]+ج_ح_مهر20[[#This Row],[مالیات پرداختنی]],"")</f>
        <v/>
      </c>
      <c r="W251" s="46" t="str">
        <f>IFERROR(ج_ح_مهر20[[#This Row],[جمع ح و م]]-ج_ح_مهر20[[#This Row],[جمع کسورات]],"")</f>
        <v/>
      </c>
    </row>
    <row r="252" spans="2:23" s="41" customFormat="1" ht="32.1" customHeight="1">
      <c r="B252" s="41">
        <f t="shared" si="5"/>
        <v>7</v>
      </c>
      <c r="C252" s="42" t="str">
        <f>IF(ج_ح_مهر20[[#This Row],[نام]]&lt;&gt;"",ROW()-229+1,"")</f>
        <v/>
      </c>
      <c r="D252" s="43"/>
      <c r="E252" s="43"/>
      <c r="F252" s="44"/>
      <c r="G252" s="45"/>
      <c r="H252" s="46" t="str">
        <f>IF(ج_ح_مهر20[[#This Row],[کارکرد]]*ج_ح_مهر20[[#This Row],[دستمزد روزانه ]]=0,"",ج_ح_مهر20[[#This Row],[کارکرد]]*ج_ح_مهر20[[#This Row],[دستمزد روزانه ]])</f>
        <v/>
      </c>
      <c r="I252" s="47"/>
      <c r="J252" s="48">
        <f>(ج_ح_مهر20[[#This Row],[دستمزد روزانه ]]/7.33)*1.4*ج_ح_مهر20[[#This Row],[مدت اضافه کاری ]]</f>
        <v>0</v>
      </c>
      <c r="K252" s="46" t="str">
        <f>IF(ج_ح_مهر20[[#This Row],[کارکرد]]="","",ج_ح_مهر20[[#This Row],[کارکرد]]*حق_مسکن/30)</f>
        <v/>
      </c>
      <c r="L252" s="49"/>
      <c r="M252" s="46" t="str">
        <f>IF(ج_ح_مهر20[[#This Row],[تعداد فرزندان]]="","",ج_ح_مهر20[[#This Row],[کارکرد]]/30*3*ج_ح_مهر20[[#This Row],[تعداد فرزندان]]*حداقل_حقوق_پایه_روزانه)</f>
        <v/>
      </c>
      <c r="N252" s="46" t="str">
        <f>IF(ج_ح_مهر20[[#This Row],[کارکرد]]="","",ج_ح_مهر20[[#This Row],[کارکرد]]*حق_خواربار/30)</f>
        <v/>
      </c>
      <c r="O252" s="46" t="str">
        <f>IFERROR(ج_ح_مهر20[[#This Row],[حقوق پایه]]+ج_ح_مهر20[[#This Row],[اضافه کاری]]+ج_ح_مهر20[[#This Row],[حق مسکن]]+ج_ح_مهر20[[#This Row],[حق اولاد]]+ج_ح_مهر20[[#This Row],[حق و خواروبار]],"")</f>
        <v/>
      </c>
      <c r="P252"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52" s="46" t="str">
        <f>IFERROR(ج_ح_مهر20[[#This Row],[حقوق پایه]]+ج_ح_مهر20[[#This Row],[اضافه کاری]]-(2/7)*ج_ح_مهر20[[#This Row],[بیمه پرداختنی]],"")</f>
        <v/>
      </c>
      <c r="R252" s="45"/>
      <c r="S252" s="45"/>
      <c r="T252" s="46" t="str">
        <f>IFERROR(ج_ح_مهر20[[#This Row],[جمع ح و م م بیمه ]]*7%,"")</f>
        <v/>
      </c>
      <c r="U252"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52" s="46" t="str">
        <f>IFERROR(ج_ح_مهر20[[#This Row],[وام]]+ج_ح_مهر20[[#This Row],[مساعده]]+ج_ح_مهر20[[#This Row],[بیمه پرداختنی]]+ج_ح_مهر20[[#This Row],[مالیات پرداختنی]],"")</f>
        <v/>
      </c>
      <c r="W252" s="46" t="str">
        <f>IFERROR(ج_ح_مهر20[[#This Row],[جمع ح و م]]-ج_ح_مهر20[[#This Row],[جمع کسورات]],"")</f>
        <v/>
      </c>
    </row>
    <row r="253" spans="2:23" s="41" customFormat="1" ht="32.1" customHeight="1">
      <c r="B253" s="41">
        <f t="shared" si="5"/>
        <v>7</v>
      </c>
      <c r="C253" s="42" t="str">
        <f>IF(ج_ح_مهر20[[#This Row],[نام]]&lt;&gt;"",ROW()-229+1,"")</f>
        <v/>
      </c>
      <c r="D253" s="43"/>
      <c r="E253" s="43"/>
      <c r="F253" s="44"/>
      <c r="G253" s="45"/>
      <c r="H253" s="46" t="str">
        <f>IF(ج_ح_مهر20[[#This Row],[کارکرد]]*ج_ح_مهر20[[#This Row],[دستمزد روزانه ]]=0,"",ج_ح_مهر20[[#This Row],[کارکرد]]*ج_ح_مهر20[[#This Row],[دستمزد روزانه ]])</f>
        <v/>
      </c>
      <c r="I253" s="47"/>
      <c r="J253" s="48">
        <f>(ج_ح_مهر20[[#This Row],[دستمزد روزانه ]]/7.33)*1.4*ج_ح_مهر20[[#This Row],[مدت اضافه کاری ]]</f>
        <v>0</v>
      </c>
      <c r="K253" s="46" t="str">
        <f>IF(ج_ح_مهر20[[#This Row],[کارکرد]]="","",ج_ح_مهر20[[#This Row],[کارکرد]]*حق_مسکن/30)</f>
        <v/>
      </c>
      <c r="L253" s="49"/>
      <c r="M253" s="46" t="str">
        <f>IF(ج_ح_مهر20[[#This Row],[تعداد فرزندان]]="","",ج_ح_مهر20[[#This Row],[کارکرد]]/30*3*ج_ح_مهر20[[#This Row],[تعداد فرزندان]]*حداقل_حقوق_پایه_روزانه)</f>
        <v/>
      </c>
      <c r="N253" s="46" t="str">
        <f>IF(ج_ح_مهر20[[#This Row],[کارکرد]]="","",ج_ح_مهر20[[#This Row],[کارکرد]]*حق_خواربار/30)</f>
        <v/>
      </c>
      <c r="O253" s="46" t="str">
        <f>IFERROR(ج_ح_مهر20[[#This Row],[حقوق پایه]]+ج_ح_مهر20[[#This Row],[اضافه کاری]]+ج_ح_مهر20[[#This Row],[حق مسکن]]+ج_ح_مهر20[[#This Row],[حق اولاد]]+ج_ح_مهر20[[#This Row],[حق و خواروبار]],"")</f>
        <v/>
      </c>
      <c r="P253"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53" s="46" t="str">
        <f>IFERROR(ج_ح_مهر20[[#This Row],[حقوق پایه]]+ج_ح_مهر20[[#This Row],[اضافه کاری]]-(2/7)*ج_ح_مهر20[[#This Row],[بیمه پرداختنی]],"")</f>
        <v/>
      </c>
      <c r="R253" s="45"/>
      <c r="S253" s="45"/>
      <c r="T253" s="46" t="str">
        <f>IFERROR(ج_ح_مهر20[[#This Row],[جمع ح و م م بیمه ]]*7%,"")</f>
        <v/>
      </c>
      <c r="U253"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53" s="46" t="str">
        <f>IFERROR(ج_ح_مهر20[[#This Row],[وام]]+ج_ح_مهر20[[#This Row],[مساعده]]+ج_ح_مهر20[[#This Row],[بیمه پرداختنی]]+ج_ح_مهر20[[#This Row],[مالیات پرداختنی]],"")</f>
        <v/>
      </c>
      <c r="W253" s="46" t="str">
        <f>IFERROR(ج_ح_مهر20[[#This Row],[جمع ح و م]]-ج_ح_مهر20[[#This Row],[جمع کسورات]],"")</f>
        <v/>
      </c>
    </row>
    <row r="254" spans="2:23" s="41" customFormat="1" ht="32.1" customHeight="1">
      <c r="B254" s="41">
        <f t="shared" si="5"/>
        <v>7</v>
      </c>
      <c r="C254" s="42" t="str">
        <f>IF(ج_ح_مهر20[[#This Row],[نام]]&lt;&gt;"",ROW()-229+1,"")</f>
        <v/>
      </c>
      <c r="D254" s="43"/>
      <c r="E254" s="43"/>
      <c r="F254" s="44"/>
      <c r="G254" s="45"/>
      <c r="H254" s="46" t="str">
        <f>IF(ج_ح_مهر20[[#This Row],[کارکرد]]*ج_ح_مهر20[[#This Row],[دستمزد روزانه ]]=0,"",ج_ح_مهر20[[#This Row],[کارکرد]]*ج_ح_مهر20[[#This Row],[دستمزد روزانه ]])</f>
        <v/>
      </c>
      <c r="I254" s="47"/>
      <c r="J254" s="48">
        <f>(ج_ح_مهر20[[#This Row],[دستمزد روزانه ]]/7.33)*1.4*ج_ح_مهر20[[#This Row],[مدت اضافه کاری ]]</f>
        <v>0</v>
      </c>
      <c r="K254" s="46" t="str">
        <f>IF(ج_ح_مهر20[[#This Row],[کارکرد]]="","",ج_ح_مهر20[[#This Row],[کارکرد]]*حق_مسکن/30)</f>
        <v/>
      </c>
      <c r="L254" s="49"/>
      <c r="M254" s="46" t="str">
        <f>IF(ج_ح_مهر20[[#This Row],[تعداد فرزندان]]="","",ج_ح_مهر20[[#This Row],[کارکرد]]/30*3*ج_ح_مهر20[[#This Row],[تعداد فرزندان]]*حداقل_حقوق_پایه_روزانه)</f>
        <v/>
      </c>
      <c r="N254" s="46" t="str">
        <f>IF(ج_ح_مهر20[[#This Row],[کارکرد]]="","",ج_ح_مهر20[[#This Row],[کارکرد]]*حق_خواربار/30)</f>
        <v/>
      </c>
      <c r="O254" s="46" t="str">
        <f>IFERROR(ج_ح_مهر20[[#This Row],[حقوق پایه]]+ج_ح_مهر20[[#This Row],[اضافه کاری]]+ج_ح_مهر20[[#This Row],[حق مسکن]]+ج_ح_مهر20[[#This Row],[حق اولاد]]+ج_ح_مهر20[[#This Row],[حق و خواروبار]],"")</f>
        <v/>
      </c>
      <c r="P254"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54" s="46" t="str">
        <f>IFERROR(ج_ح_مهر20[[#This Row],[حقوق پایه]]+ج_ح_مهر20[[#This Row],[اضافه کاری]]-(2/7)*ج_ح_مهر20[[#This Row],[بیمه پرداختنی]],"")</f>
        <v/>
      </c>
      <c r="R254" s="45"/>
      <c r="S254" s="45"/>
      <c r="T254" s="46" t="str">
        <f>IFERROR(ج_ح_مهر20[[#This Row],[جمع ح و م م بیمه ]]*7%,"")</f>
        <v/>
      </c>
      <c r="U254"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54" s="46" t="str">
        <f>IFERROR(ج_ح_مهر20[[#This Row],[وام]]+ج_ح_مهر20[[#This Row],[مساعده]]+ج_ح_مهر20[[#This Row],[بیمه پرداختنی]]+ج_ح_مهر20[[#This Row],[مالیات پرداختنی]],"")</f>
        <v/>
      </c>
      <c r="W254" s="46" t="str">
        <f>IFERROR(ج_ح_مهر20[[#This Row],[جمع ح و م]]-ج_ح_مهر20[[#This Row],[جمع کسورات]],"")</f>
        <v/>
      </c>
    </row>
    <row r="255" spans="2:23" s="41" customFormat="1" ht="32.1" customHeight="1">
      <c r="B255" s="41">
        <f t="shared" si="5"/>
        <v>7</v>
      </c>
      <c r="C255" s="42" t="str">
        <f>IF(ج_ح_مهر20[[#This Row],[نام]]&lt;&gt;"",ROW()-229+1,"")</f>
        <v/>
      </c>
      <c r="D255" s="43"/>
      <c r="E255" s="43"/>
      <c r="F255" s="44"/>
      <c r="G255" s="45"/>
      <c r="H255" s="46" t="str">
        <f>IF(ج_ح_مهر20[[#This Row],[کارکرد]]*ج_ح_مهر20[[#This Row],[دستمزد روزانه ]]=0,"",ج_ح_مهر20[[#This Row],[کارکرد]]*ج_ح_مهر20[[#This Row],[دستمزد روزانه ]])</f>
        <v/>
      </c>
      <c r="I255" s="47"/>
      <c r="J255" s="48">
        <f>(ج_ح_مهر20[[#This Row],[دستمزد روزانه ]]/7.33)*1.4*ج_ح_مهر20[[#This Row],[مدت اضافه کاری ]]</f>
        <v>0</v>
      </c>
      <c r="K255" s="46" t="str">
        <f>IF(ج_ح_مهر20[[#This Row],[کارکرد]]="","",ج_ح_مهر20[[#This Row],[کارکرد]]*حق_مسکن/30)</f>
        <v/>
      </c>
      <c r="L255" s="49"/>
      <c r="M255" s="46" t="str">
        <f>IF(ج_ح_مهر20[[#This Row],[تعداد فرزندان]]="","",ج_ح_مهر20[[#This Row],[کارکرد]]/30*3*ج_ح_مهر20[[#This Row],[تعداد فرزندان]]*حداقل_حقوق_پایه_روزانه)</f>
        <v/>
      </c>
      <c r="N255" s="46" t="str">
        <f>IF(ج_ح_مهر20[[#This Row],[کارکرد]]="","",ج_ح_مهر20[[#This Row],[کارکرد]]*حق_خواربار/30)</f>
        <v/>
      </c>
      <c r="O255" s="46" t="str">
        <f>IFERROR(ج_ح_مهر20[[#This Row],[حقوق پایه]]+ج_ح_مهر20[[#This Row],[اضافه کاری]]+ج_ح_مهر20[[#This Row],[حق مسکن]]+ج_ح_مهر20[[#This Row],[حق اولاد]]+ج_ح_مهر20[[#This Row],[حق و خواروبار]],"")</f>
        <v/>
      </c>
      <c r="P255"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55" s="46" t="str">
        <f>IFERROR(ج_ح_مهر20[[#This Row],[حقوق پایه]]+ج_ح_مهر20[[#This Row],[اضافه کاری]]-(2/7)*ج_ح_مهر20[[#This Row],[بیمه پرداختنی]],"")</f>
        <v/>
      </c>
      <c r="R255" s="45"/>
      <c r="S255" s="45"/>
      <c r="T255" s="46" t="str">
        <f>IFERROR(ج_ح_مهر20[[#This Row],[جمع ح و م م بیمه ]]*7%,"")</f>
        <v/>
      </c>
      <c r="U255"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55" s="46" t="str">
        <f>IFERROR(ج_ح_مهر20[[#This Row],[وام]]+ج_ح_مهر20[[#This Row],[مساعده]]+ج_ح_مهر20[[#This Row],[بیمه پرداختنی]]+ج_ح_مهر20[[#This Row],[مالیات پرداختنی]],"")</f>
        <v/>
      </c>
      <c r="W255" s="46" t="str">
        <f>IFERROR(ج_ح_مهر20[[#This Row],[جمع ح و م]]-ج_ح_مهر20[[#This Row],[جمع کسورات]],"")</f>
        <v/>
      </c>
    </row>
    <row r="256" spans="2:23" s="41" customFormat="1" ht="32.1" customHeight="1">
      <c r="B256" s="41">
        <f t="shared" si="5"/>
        <v>7</v>
      </c>
      <c r="C256" s="42" t="str">
        <f>IF(ج_ح_مهر20[[#This Row],[نام]]&lt;&gt;"",ROW()-229+1,"")</f>
        <v/>
      </c>
      <c r="D256" s="43"/>
      <c r="E256" s="43"/>
      <c r="F256" s="44"/>
      <c r="G256" s="45"/>
      <c r="H256" s="46" t="str">
        <f>IF(ج_ح_مهر20[[#This Row],[کارکرد]]*ج_ح_مهر20[[#This Row],[دستمزد روزانه ]]=0,"",ج_ح_مهر20[[#This Row],[کارکرد]]*ج_ح_مهر20[[#This Row],[دستمزد روزانه ]])</f>
        <v/>
      </c>
      <c r="I256" s="47"/>
      <c r="J256" s="48">
        <f>(ج_ح_مهر20[[#This Row],[دستمزد روزانه ]]/7.33)*1.4*ج_ح_مهر20[[#This Row],[مدت اضافه کاری ]]</f>
        <v>0</v>
      </c>
      <c r="K256" s="46" t="str">
        <f>IF(ج_ح_مهر20[[#This Row],[کارکرد]]="","",ج_ح_مهر20[[#This Row],[کارکرد]]*حق_مسکن/30)</f>
        <v/>
      </c>
      <c r="L256" s="49"/>
      <c r="M256" s="46" t="str">
        <f>IF(ج_ح_مهر20[[#This Row],[تعداد فرزندان]]="","",ج_ح_مهر20[[#This Row],[کارکرد]]/30*3*ج_ح_مهر20[[#This Row],[تعداد فرزندان]]*حداقل_حقوق_پایه_روزانه)</f>
        <v/>
      </c>
      <c r="N256" s="46" t="str">
        <f>IF(ج_ح_مهر20[[#This Row],[کارکرد]]="","",ج_ح_مهر20[[#This Row],[کارکرد]]*حق_خواربار/30)</f>
        <v/>
      </c>
      <c r="O256" s="46" t="str">
        <f>IFERROR(ج_ح_مهر20[[#This Row],[حقوق پایه]]+ج_ح_مهر20[[#This Row],[اضافه کاری]]+ج_ح_مهر20[[#This Row],[حق مسکن]]+ج_ح_مهر20[[#This Row],[حق اولاد]]+ج_ح_مهر20[[#This Row],[حق و خواروبار]],"")</f>
        <v/>
      </c>
      <c r="P256"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56" s="46" t="str">
        <f>IFERROR(ج_ح_مهر20[[#This Row],[حقوق پایه]]+ج_ح_مهر20[[#This Row],[اضافه کاری]]-(2/7)*ج_ح_مهر20[[#This Row],[بیمه پرداختنی]],"")</f>
        <v/>
      </c>
      <c r="R256" s="45"/>
      <c r="S256" s="45"/>
      <c r="T256" s="46" t="str">
        <f>IFERROR(ج_ح_مهر20[[#This Row],[جمع ح و م م بیمه ]]*7%,"")</f>
        <v/>
      </c>
      <c r="U256"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56" s="46" t="str">
        <f>IFERROR(ج_ح_مهر20[[#This Row],[وام]]+ج_ح_مهر20[[#This Row],[مساعده]]+ج_ح_مهر20[[#This Row],[بیمه پرداختنی]]+ج_ح_مهر20[[#This Row],[مالیات پرداختنی]],"")</f>
        <v/>
      </c>
      <c r="W256" s="46" t="str">
        <f>IFERROR(ج_ح_مهر20[[#This Row],[جمع ح و م]]-ج_ح_مهر20[[#This Row],[جمع کسورات]],"")</f>
        <v/>
      </c>
    </row>
    <row r="257" spans="1:23" s="41" customFormat="1" ht="32.1" customHeight="1">
      <c r="B257" s="41">
        <f t="shared" si="5"/>
        <v>7</v>
      </c>
      <c r="C257" s="42" t="str">
        <f>IF(ج_ح_مهر20[[#This Row],[نام]]&lt;&gt;"",ROW()-229+1,"")</f>
        <v/>
      </c>
      <c r="D257" s="43"/>
      <c r="E257" s="43"/>
      <c r="F257" s="44"/>
      <c r="G257" s="45"/>
      <c r="H257" s="46" t="str">
        <f>IF(ج_ح_مهر20[[#This Row],[کارکرد]]*ج_ح_مهر20[[#This Row],[دستمزد روزانه ]]=0,"",ج_ح_مهر20[[#This Row],[کارکرد]]*ج_ح_مهر20[[#This Row],[دستمزد روزانه ]])</f>
        <v/>
      </c>
      <c r="I257" s="47"/>
      <c r="J257" s="48">
        <f>(ج_ح_مهر20[[#This Row],[دستمزد روزانه ]]/7.33)*1.4*ج_ح_مهر20[[#This Row],[مدت اضافه کاری ]]</f>
        <v>0</v>
      </c>
      <c r="K257" s="46" t="str">
        <f>IF(ج_ح_مهر20[[#This Row],[کارکرد]]="","",ج_ح_مهر20[[#This Row],[کارکرد]]*حق_مسکن/30)</f>
        <v/>
      </c>
      <c r="L257" s="49"/>
      <c r="M257" s="46" t="str">
        <f>IF(ج_ح_مهر20[[#This Row],[تعداد فرزندان]]="","",ج_ح_مهر20[[#This Row],[کارکرد]]/30*3*ج_ح_مهر20[[#This Row],[تعداد فرزندان]]*حداقل_حقوق_پایه_روزانه)</f>
        <v/>
      </c>
      <c r="N257" s="46" t="str">
        <f>IF(ج_ح_مهر20[[#This Row],[کارکرد]]="","",ج_ح_مهر20[[#This Row],[کارکرد]]*حق_خواربار/30)</f>
        <v/>
      </c>
      <c r="O257" s="46" t="str">
        <f>IFERROR(ج_ح_مهر20[[#This Row],[حقوق پایه]]+ج_ح_مهر20[[#This Row],[اضافه کاری]]+ج_ح_مهر20[[#This Row],[حق مسکن]]+ج_ح_مهر20[[#This Row],[حق اولاد]]+ج_ح_مهر20[[#This Row],[حق و خواروبار]],"")</f>
        <v/>
      </c>
      <c r="P257"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57" s="46" t="str">
        <f>IFERROR(ج_ح_مهر20[[#This Row],[حقوق پایه]]+ج_ح_مهر20[[#This Row],[اضافه کاری]]-(2/7)*ج_ح_مهر20[[#This Row],[بیمه پرداختنی]],"")</f>
        <v/>
      </c>
      <c r="R257" s="45"/>
      <c r="S257" s="45"/>
      <c r="T257" s="46" t="str">
        <f>IFERROR(ج_ح_مهر20[[#This Row],[جمع ح و م م بیمه ]]*7%,"")</f>
        <v/>
      </c>
      <c r="U257"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57" s="46" t="str">
        <f>IFERROR(ج_ح_مهر20[[#This Row],[وام]]+ج_ح_مهر20[[#This Row],[مساعده]]+ج_ح_مهر20[[#This Row],[بیمه پرداختنی]]+ج_ح_مهر20[[#This Row],[مالیات پرداختنی]],"")</f>
        <v/>
      </c>
      <c r="W257" s="46" t="str">
        <f>IFERROR(ج_ح_مهر20[[#This Row],[جمع ح و م]]-ج_ح_مهر20[[#This Row],[جمع کسورات]],"")</f>
        <v/>
      </c>
    </row>
    <row r="258" spans="1:23" s="41" customFormat="1" ht="32.1" customHeight="1">
      <c r="B258" s="41">
        <f t="shared" si="5"/>
        <v>7</v>
      </c>
      <c r="C258" s="42" t="str">
        <f>IF(ج_ح_مهر20[[#This Row],[نام]]&lt;&gt;"",ROW()-229+1,"")</f>
        <v/>
      </c>
      <c r="D258" s="43"/>
      <c r="E258" s="43"/>
      <c r="F258" s="44"/>
      <c r="G258" s="45"/>
      <c r="H258" s="46" t="str">
        <f>IF(ج_ح_مهر20[[#This Row],[کارکرد]]*ج_ح_مهر20[[#This Row],[دستمزد روزانه ]]=0,"",ج_ح_مهر20[[#This Row],[کارکرد]]*ج_ح_مهر20[[#This Row],[دستمزد روزانه ]])</f>
        <v/>
      </c>
      <c r="I258" s="47"/>
      <c r="J258" s="48">
        <f>(ج_ح_مهر20[[#This Row],[دستمزد روزانه ]]/7.33)*1.4*ج_ح_مهر20[[#This Row],[مدت اضافه کاری ]]</f>
        <v>0</v>
      </c>
      <c r="K258" s="46" t="str">
        <f>IF(ج_ح_مهر20[[#This Row],[کارکرد]]="","",ج_ح_مهر20[[#This Row],[کارکرد]]*حق_مسکن/30)</f>
        <v/>
      </c>
      <c r="L258" s="49"/>
      <c r="M258" s="46" t="str">
        <f>IF(ج_ح_مهر20[[#This Row],[تعداد فرزندان]]="","",ج_ح_مهر20[[#This Row],[کارکرد]]/30*3*ج_ح_مهر20[[#This Row],[تعداد فرزندان]]*حداقل_حقوق_پایه_روزانه)</f>
        <v/>
      </c>
      <c r="N258" s="46" t="str">
        <f>IF(ج_ح_مهر20[[#This Row],[کارکرد]]="","",ج_ح_مهر20[[#This Row],[کارکرد]]*حق_خواربار/30)</f>
        <v/>
      </c>
      <c r="O258" s="46" t="str">
        <f>IFERROR(ج_ح_مهر20[[#This Row],[حقوق پایه]]+ج_ح_مهر20[[#This Row],[اضافه کاری]]+ج_ح_مهر20[[#This Row],[حق مسکن]]+ج_ح_مهر20[[#This Row],[حق اولاد]]+ج_ح_مهر20[[#This Row],[حق و خواروبار]],"")</f>
        <v/>
      </c>
      <c r="P258" s="46" t="str">
        <f>IFERROR(IF(ج_ح_مهر20[[#This Row],[حقوق پایه]]+ج_ح_مهر20[[#This Row],[اضافه کاری]]+ج_ح_مهر20[[#This Row],[حق مسکن]]+ج_ح_مهر20[[#This Row],[حق و خواروبار]]&gt;حداکثر_حقوق_مشمول_بیمه_ماهانه,حداکثر_حقوق_مشمول_بیمه_ماهانه,ج_ح_مهر20[[#This Row],[حقوق پایه]]+ج_ح_مهر20[[#This Row],[اضافه کاری]]+ج_ح_مهر20[[#This Row],[حق مسکن]]+ج_ح_مهر20[[#This Row],[حق و خواروبار]]),"")</f>
        <v/>
      </c>
      <c r="Q258" s="46" t="str">
        <f>IFERROR(ج_ح_مهر20[[#This Row],[حقوق پایه]]+ج_ح_مهر20[[#This Row],[اضافه کاری]]-(2/7)*ج_ح_مهر20[[#This Row],[بیمه پرداختنی]],"")</f>
        <v/>
      </c>
      <c r="R258" s="45"/>
      <c r="S258" s="45"/>
      <c r="T258" s="46" t="str">
        <f>IFERROR(ج_ح_مهر20[[#This Row],[جمع ح و م م بیمه ]]*7%,"")</f>
        <v/>
      </c>
      <c r="U258" s="50" t="str">
        <f>IFERROR(IF(ج_ح_مهر20[[#This Row],[جمع ح و م م مالیات]]&gt;=320000000,(ج_ح_مهر20[[#This Row],[جمع ح و م م مالیات]]-320000000)*35%+61000000,
IF(ج_ح_مهر20[[#This Row],[جمع ح و م م مالیات]]&gt;=240000000,(ج_ح_مهر20[[#This Row],[جمع ح و م م مالیات]]-240000000)*30%+37000000,
IF(ج_ح_مهر20[[#This Row],[جمع ح و م م مالیات]]&gt;=180000000,(ج_ح_مهر20[[#This Row],[جمع ح و م م مالیات]]-180000000)*25%+22000000,
IF(ج_ح_مهر20[[#This Row],[جمع ح و م م مالیات]]&gt;=120000000,(ج_ح_مهر20[[#This Row],[جمع ح و م م مالیات]]-120000000)*20%+10000000,
IF(ج_ح_مهر20[[#This Row],[جمع ح و م م مالیات]]&gt;=80000000,(ج_ح_مهر20[[#This Row],[جمع ح و م م مالیات]]-80000000)*15%+4000000,
IF(ج_ح_مهر20[[#This Row],[جمع ح و م م مالیات]]&gt;=40000000,(ج_ح_مهر20[[#This Row],[جمع ح و م م مالیات]]-40000000)*10%,0)))))),"")</f>
        <v/>
      </c>
      <c r="V258" s="46" t="str">
        <f>IFERROR(ج_ح_مهر20[[#This Row],[وام]]+ج_ح_مهر20[[#This Row],[مساعده]]+ج_ح_مهر20[[#This Row],[بیمه پرداختنی]]+ج_ح_مهر20[[#This Row],[مالیات پرداختنی]],"")</f>
        <v/>
      </c>
      <c r="W258" s="46" t="str">
        <f>IFERROR(ج_ح_مهر20[[#This Row],[جمع ح و م]]-ج_ح_مهر20[[#This Row],[جمع کسورات]],"")</f>
        <v/>
      </c>
    </row>
    <row r="259" spans="1:23" ht="32.1" customHeight="1">
      <c r="B259" s="32">
        <f t="shared" si="5"/>
        <v>7</v>
      </c>
      <c r="C259" s="51"/>
      <c r="D259" s="52"/>
      <c r="E259" s="52" t="s">
        <v>124</v>
      </c>
      <c r="F259" s="53">
        <f>SUBTOTAL(109,ج_ح_مهر20[کارکرد])</f>
        <v>30</v>
      </c>
      <c r="G259" s="54">
        <f>SUBTOTAL(109,ج_ح_مهر20[[دستمزد روزانه ]])</f>
        <v>1000000</v>
      </c>
      <c r="H259" s="54">
        <f>SUBTOTAL(109,ج_ح_مهر20[حقوق پایه])</f>
        <v>30000000</v>
      </c>
      <c r="I259" s="55">
        <f>SUBTOTAL(109,ج_ح_مهر20[[مدت اضافه کاری ]])</f>
        <v>7.33</v>
      </c>
      <c r="J259" s="56">
        <f>SUBTOTAL(109,ج_ح_مهر20[اضافه کاری])</f>
        <v>1400000</v>
      </c>
      <c r="K259" s="54">
        <f>SUBTOTAL(109,ج_ح_مهر20[حق مسکن])</f>
        <v>0</v>
      </c>
      <c r="L259" s="57">
        <f>SUBTOTAL(109,ج_ح_مهر20[تعداد فرزندان])</f>
        <v>1</v>
      </c>
      <c r="M259" s="54">
        <f>SUBTOTAL(109,ج_ح_مهر20[حق اولاد])</f>
        <v>0</v>
      </c>
      <c r="N259" s="54">
        <f>SUBTOTAL(109,ج_ح_مهر20[حق و خواروبار])</f>
        <v>0</v>
      </c>
      <c r="O259" s="54">
        <f>SUBTOTAL(109,ج_ح_مهر20[جمع ح و م])</f>
        <v>31400000</v>
      </c>
      <c r="P259" s="54">
        <f>SUBTOTAL(109,ج_ح_مهر20[[جمع ح و م م بیمه ]])</f>
        <v>0</v>
      </c>
      <c r="Q259" s="54">
        <f>SUBTOTAL(109,ج_ح_مهر20[جمع ح و م م مالیات])</f>
        <v>0</v>
      </c>
      <c r="R259" s="54">
        <f>SUBTOTAL(109,ج_ح_مهر20[وام])</f>
        <v>0</v>
      </c>
      <c r="S259" s="54">
        <f>SUBTOTAL(109,ج_ح_مهر20[مساعده])</f>
        <v>0</v>
      </c>
      <c r="T259" s="54">
        <f>SUBTOTAL(109,ج_ح_مهر20[بیمه پرداختنی])</f>
        <v>0</v>
      </c>
      <c r="U259" s="54">
        <f>SUBTOTAL(109,ج_ح_مهر20[مالیات پرداختنی])</f>
        <v>0</v>
      </c>
      <c r="V259" s="54">
        <f>SUBTOTAL(109,ج_ح_مهر20[جمع کسورات])</f>
        <v>0</v>
      </c>
      <c r="W259" s="54">
        <f>SUBTOTAL(109,ج_ح_مهر20[خالص قابل پرداخت])</f>
        <v>0</v>
      </c>
    </row>
    <row r="260" spans="1:23" ht="8.1" customHeight="1"/>
    <row r="261" spans="1:23" s="33" customFormat="1" ht="39.950000000000003" customHeight="1">
      <c r="A261" s="34"/>
      <c r="B261" s="34"/>
      <c r="C261" s="105" t="s">
        <v>94</v>
      </c>
      <c r="D261" s="105"/>
      <c r="E261" s="105"/>
      <c r="F261" s="105"/>
      <c r="G261" s="105"/>
      <c r="H261" s="105"/>
      <c r="I261" s="105"/>
      <c r="J261" s="105"/>
      <c r="K261" s="105"/>
      <c r="L261" s="105"/>
      <c r="M261" s="105"/>
      <c r="N261" s="105"/>
      <c r="O261" s="105"/>
      <c r="P261" s="105"/>
      <c r="Q261" s="105"/>
      <c r="R261" s="105"/>
      <c r="S261" s="105"/>
      <c r="T261" s="105"/>
      <c r="U261" s="105"/>
      <c r="V261" s="105"/>
      <c r="W261" s="105"/>
    </row>
    <row r="262" spans="1:23" s="33" customFormat="1" ht="50.1" customHeight="1">
      <c r="C262" s="106" t="s">
        <v>132</v>
      </c>
      <c r="D262" s="106"/>
      <c r="E262" s="106"/>
      <c r="F262" s="106"/>
      <c r="G262" s="106"/>
      <c r="H262" s="106"/>
      <c r="I262" s="106"/>
      <c r="J262" s="106"/>
      <c r="K262" s="106"/>
      <c r="L262" s="106"/>
      <c r="M262" s="106"/>
      <c r="N262" s="106"/>
      <c r="O262" s="106"/>
      <c r="P262" s="106"/>
      <c r="Q262" s="106"/>
      <c r="R262" s="106"/>
      <c r="S262" s="106"/>
      <c r="T262" s="106"/>
      <c r="U262" s="106"/>
      <c r="V262" s="106"/>
      <c r="W262" s="106"/>
    </row>
    <row r="263" spans="1:23" s="35" customFormat="1" ht="50.1" customHeight="1">
      <c r="C263" s="104" t="s">
        <v>45</v>
      </c>
      <c r="D263" s="36" t="s">
        <v>96</v>
      </c>
      <c r="E263" s="36" t="s">
        <v>97</v>
      </c>
      <c r="F263" s="36" t="s">
        <v>98</v>
      </c>
      <c r="G263" s="36" t="s">
        <v>99</v>
      </c>
      <c r="H263" s="36" t="s">
        <v>100</v>
      </c>
      <c r="I263" s="36" t="s">
        <v>101</v>
      </c>
      <c r="J263" s="36" t="s">
        <v>102</v>
      </c>
      <c r="K263" s="36" t="s">
        <v>17</v>
      </c>
      <c r="L263" s="36" t="s">
        <v>103</v>
      </c>
      <c r="M263" s="36" t="s">
        <v>104</v>
      </c>
      <c r="N263" s="36" t="s">
        <v>105</v>
      </c>
      <c r="O263" s="36" t="s">
        <v>106</v>
      </c>
      <c r="P263" s="36" t="s">
        <v>107</v>
      </c>
      <c r="Q263" s="36" t="s">
        <v>108</v>
      </c>
      <c r="R263" s="36" t="s">
        <v>109</v>
      </c>
      <c r="S263" s="36" t="s">
        <v>110</v>
      </c>
      <c r="T263" s="36" t="s">
        <v>111</v>
      </c>
      <c r="U263" s="36" t="s">
        <v>112</v>
      </c>
      <c r="V263" s="36" t="s">
        <v>113</v>
      </c>
      <c r="W263" s="36" t="s">
        <v>114</v>
      </c>
    </row>
    <row r="264" spans="1:23" s="33" customFormat="1" ht="32.1" customHeight="1">
      <c r="C264" s="104"/>
      <c r="D264" s="37">
        <v>1</v>
      </c>
      <c r="E264" s="37">
        <v>2</v>
      </c>
      <c r="F264" s="37">
        <v>3</v>
      </c>
      <c r="G264" s="37">
        <v>4</v>
      </c>
      <c r="H264" s="37">
        <v>5</v>
      </c>
      <c r="I264" s="37">
        <v>6</v>
      </c>
      <c r="J264" s="37">
        <v>7</v>
      </c>
      <c r="K264" s="37">
        <v>8</v>
      </c>
      <c r="L264" s="37">
        <v>9</v>
      </c>
      <c r="M264" s="37">
        <v>10</v>
      </c>
      <c r="N264" s="37">
        <v>11</v>
      </c>
      <c r="O264" s="37">
        <v>12</v>
      </c>
      <c r="P264" s="37">
        <v>13</v>
      </c>
      <c r="Q264" s="37">
        <v>14</v>
      </c>
      <c r="R264" s="37">
        <v>15</v>
      </c>
      <c r="S264" s="37">
        <v>16</v>
      </c>
      <c r="T264" s="37">
        <v>17</v>
      </c>
      <c r="U264" s="37">
        <v>18</v>
      </c>
      <c r="V264" s="37">
        <v>19</v>
      </c>
      <c r="W264" s="38">
        <v>20</v>
      </c>
    </row>
    <row r="265" spans="1:23" s="33" customFormat="1" ht="20.100000000000001" customHeight="1">
      <c r="C265" s="39" t="s">
        <v>45</v>
      </c>
      <c r="D265" s="39" t="s">
        <v>96</v>
      </c>
      <c r="E265" s="39" t="s">
        <v>97</v>
      </c>
      <c r="F265" s="39" t="s">
        <v>98</v>
      </c>
      <c r="G265" s="39" t="s">
        <v>99</v>
      </c>
      <c r="H265" s="39" t="s">
        <v>100</v>
      </c>
      <c r="I265" s="39" t="s">
        <v>115</v>
      </c>
      <c r="J265" s="39" t="s">
        <v>102</v>
      </c>
      <c r="K265" s="39" t="s">
        <v>17</v>
      </c>
      <c r="L265" s="39" t="s">
        <v>116</v>
      </c>
      <c r="M265" s="39" t="s">
        <v>104</v>
      </c>
      <c r="N265" s="39" t="s">
        <v>117</v>
      </c>
      <c r="O265" s="39" t="s">
        <v>118</v>
      </c>
      <c r="P265" s="39" t="s">
        <v>119</v>
      </c>
      <c r="Q265" s="40" t="s">
        <v>120</v>
      </c>
      <c r="R265" s="39" t="s">
        <v>109</v>
      </c>
      <c r="S265" s="39" t="s">
        <v>110</v>
      </c>
      <c r="T265" s="40" t="s">
        <v>121</v>
      </c>
      <c r="U265" s="40" t="s">
        <v>14</v>
      </c>
      <c r="V265" s="39" t="s">
        <v>113</v>
      </c>
      <c r="W265" s="39" t="s">
        <v>122</v>
      </c>
    </row>
    <row r="266" spans="1:23" s="41" customFormat="1" ht="32.1" customHeight="1">
      <c r="B266" s="41">
        <f>B259+1</f>
        <v>8</v>
      </c>
      <c r="C266" s="42">
        <f>IF(ج_ح_آبان21[[#This Row],[نام]]&lt;&gt;"",ROW()-266+1,"")</f>
        <v>1</v>
      </c>
      <c r="D266" s="43" t="s">
        <v>126</v>
      </c>
      <c r="E266" s="43" t="s">
        <v>126</v>
      </c>
      <c r="F266" s="44">
        <v>30</v>
      </c>
      <c r="G266" s="45">
        <v>1000000</v>
      </c>
      <c r="H266" s="46">
        <f>IF(ج_ح_آبان21[[#This Row],[کارکرد]]*ج_ح_آبان21[[#This Row],[دستمزد روزانه ]]=0,"",ج_ح_آبان21[[#This Row],[کارکرد]]*ج_ح_آبان21[[#This Row],[دستمزد روزانه ]])</f>
        <v>30000000</v>
      </c>
      <c r="I266" s="47">
        <v>7.33</v>
      </c>
      <c r="J266" s="48">
        <f>(ج_ح_آبان21[[#This Row],[دستمزد روزانه ]]/7.33)*1.4*ج_ح_آبان21[[#This Row],[مدت اضافه کاری ]]</f>
        <v>1400000</v>
      </c>
      <c r="K266" s="46">
        <f>IF(ج_ح_آبان21[[#This Row],[کارکرد]]="","",ج_ح_آبان21[[#This Row],[کارکرد]]*حق_مسکن/30)</f>
        <v>0</v>
      </c>
      <c r="L266" s="49">
        <v>1</v>
      </c>
      <c r="M266" s="46">
        <f>IF(ج_ح_آبان21[[#This Row],[تعداد فرزندان]]="","",ج_ح_آبان21[[#This Row],[کارکرد]]/30*3*ج_ح_آبان21[[#This Row],[تعداد فرزندان]]*حداقل_حقوق_پایه_روزانه)</f>
        <v>0</v>
      </c>
      <c r="N266" s="46">
        <f>IF(ج_ح_آبان21[[#This Row],[کارکرد]]="","",ج_ح_آبان21[[#This Row],[کارکرد]]*حق_خواربار/30)</f>
        <v>0</v>
      </c>
      <c r="O266" s="46">
        <f>IFERROR(ج_ح_آبان21[[#This Row],[حقوق پایه]]+ج_ح_آبان21[[#This Row],[اضافه کاری]]+ج_ح_آبان21[[#This Row],[حق مسکن]]+ج_ح_آبان21[[#This Row],[حق اولاد]]+ج_ح_آبان21[[#This Row],[حق و خواروبار]],"")</f>
        <v>31400000</v>
      </c>
      <c r="P266"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66" s="46" t="str">
        <f>IFERROR(ج_ح_آبان21[[#This Row],[حقوق پایه]]+ج_ح_آبان21[[#This Row],[اضافه کاری]]-(2/7)*ج_ح_آبان21[[#This Row],[بیمه پرداختنی]],"")</f>
        <v/>
      </c>
      <c r="R266" s="45"/>
      <c r="S266" s="45"/>
      <c r="T266" s="46" t="str">
        <f>IFERROR(ج_ح_آبان21[[#This Row],[جمع ح و م م بیمه ]]*7%,"")</f>
        <v/>
      </c>
      <c r="U266"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66" s="46" t="str">
        <f>IFERROR(ج_ح_آبان21[[#This Row],[وام]]+ج_ح_آبان21[[#This Row],[مساعده]]+ج_ح_آبان21[[#This Row],[بیمه پرداختنی]]+ج_ح_آبان21[[#This Row],[مالیات پرداختنی]],"")</f>
        <v/>
      </c>
      <c r="W266" s="46" t="str">
        <f>IFERROR(ج_ح_آبان21[[#This Row],[جمع ح و م]]-ج_ح_آبان21[[#This Row],[جمع کسورات]],"")</f>
        <v/>
      </c>
    </row>
    <row r="267" spans="1:23" s="41" customFormat="1" ht="32.1" customHeight="1">
      <c r="B267" s="41">
        <f>B266</f>
        <v>8</v>
      </c>
      <c r="C267" s="42" t="str">
        <f>IF(ج_ح_آبان21[[#This Row],[نام]]&lt;&gt;"",ROW()-266+1,"")</f>
        <v/>
      </c>
      <c r="D267" s="43"/>
      <c r="E267" s="43"/>
      <c r="F267" s="44"/>
      <c r="G267" s="45"/>
      <c r="H267" s="46" t="str">
        <f>IF(ج_ح_آبان21[[#This Row],[کارکرد]]*ج_ح_آبان21[[#This Row],[دستمزد روزانه ]]=0,"",ج_ح_آبان21[[#This Row],[کارکرد]]*ج_ح_آبان21[[#This Row],[دستمزد روزانه ]])</f>
        <v/>
      </c>
      <c r="I267" s="47"/>
      <c r="J267" s="48">
        <f>(ج_ح_آبان21[[#This Row],[دستمزد روزانه ]]/7.33)*1.4*ج_ح_آبان21[[#This Row],[مدت اضافه کاری ]]</f>
        <v>0</v>
      </c>
      <c r="K267" s="46" t="str">
        <f>IF(ج_ح_آبان21[[#This Row],[کارکرد]]="","",ج_ح_آبان21[[#This Row],[کارکرد]]*حق_مسکن/30)</f>
        <v/>
      </c>
      <c r="L267" s="49"/>
      <c r="M267" s="46" t="str">
        <f>IF(ج_ح_آبان21[[#This Row],[تعداد فرزندان]]="","",ج_ح_آبان21[[#This Row],[کارکرد]]/30*3*ج_ح_آبان21[[#This Row],[تعداد فرزندان]]*حداقل_حقوق_پایه_روزانه)</f>
        <v/>
      </c>
      <c r="N267" s="46" t="str">
        <f>IF(ج_ح_آبان21[[#This Row],[کارکرد]]="","",ج_ح_آبان21[[#This Row],[کارکرد]]*حق_خواربار/30)</f>
        <v/>
      </c>
      <c r="O267" s="46" t="str">
        <f>IFERROR(ج_ح_آبان21[[#This Row],[حقوق پایه]]+ج_ح_آبان21[[#This Row],[اضافه کاری]]+ج_ح_آبان21[[#This Row],[حق مسکن]]+ج_ح_آبان21[[#This Row],[حق اولاد]]+ج_ح_آبان21[[#This Row],[حق و خواروبار]],"")</f>
        <v/>
      </c>
      <c r="P267"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67" s="46" t="str">
        <f>IFERROR(ج_ح_آبان21[[#This Row],[حقوق پایه]]+ج_ح_آبان21[[#This Row],[اضافه کاری]]-(2/7)*ج_ح_آبان21[[#This Row],[بیمه پرداختنی]],"")</f>
        <v/>
      </c>
      <c r="R267" s="45"/>
      <c r="S267" s="45"/>
      <c r="T267" s="46" t="str">
        <f>IFERROR(ج_ح_آبان21[[#This Row],[جمع ح و م م بیمه ]]*7%,"")</f>
        <v/>
      </c>
      <c r="U267"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67" s="46" t="str">
        <f>IFERROR(ج_ح_آبان21[[#This Row],[وام]]+ج_ح_آبان21[[#This Row],[مساعده]]+ج_ح_آبان21[[#This Row],[بیمه پرداختنی]]+ج_ح_آبان21[[#This Row],[مالیات پرداختنی]],"")</f>
        <v/>
      </c>
      <c r="W267" s="46" t="str">
        <f>IFERROR(ج_ح_آبان21[[#This Row],[جمع ح و م]]-ج_ح_آبان21[[#This Row],[جمع کسورات]],"")</f>
        <v/>
      </c>
    </row>
    <row r="268" spans="1:23" s="41" customFormat="1" ht="32.1" customHeight="1">
      <c r="B268" s="41">
        <f t="shared" ref="B268:B296" si="6">B267</f>
        <v>8</v>
      </c>
      <c r="C268" s="42" t="str">
        <f>IF(ج_ح_آبان21[[#This Row],[نام]]&lt;&gt;"",ROW()-266+1,"")</f>
        <v/>
      </c>
      <c r="D268" s="43"/>
      <c r="E268" s="43"/>
      <c r="F268" s="44"/>
      <c r="G268" s="45"/>
      <c r="H268" s="46" t="str">
        <f>IF(ج_ح_آبان21[[#This Row],[کارکرد]]*ج_ح_آبان21[[#This Row],[دستمزد روزانه ]]=0,"",ج_ح_آبان21[[#This Row],[کارکرد]]*ج_ح_آبان21[[#This Row],[دستمزد روزانه ]])</f>
        <v/>
      </c>
      <c r="I268" s="47"/>
      <c r="J268" s="48">
        <f>(ج_ح_آبان21[[#This Row],[دستمزد روزانه ]]/7.33)*1.4*ج_ح_آبان21[[#This Row],[مدت اضافه کاری ]]</f>
        <v>0</v>
      </c>
      <c r="K268" s="46" t="str">
        <f>IF(ج_ح_آبان21[[#This Row],[کارکرد]]="","",ج_ح_آبان21[[#This Row],[کارکرد]]*حق_مسکن/30)</f>
        <v/>
      </c>
      <c r="L268" s="49"/>
      <c r="M268" s="46" t="str">
        <f>IF(ج_ح_آبان21[[#This Row],[تعداد فرزندان]]="","",ج_ح_آبان21[[#This Row],[کارکرد]]/30*3*ج_ح_آبان21[[#This Row],[تعداد فرزندان]]*حداقل_حقوق_پایه_روزانه)</f>
        <v/>
      </c>
      <c r="N268" s="46" t="str">
        <f>IF(ج_ح_آبان21[[#This Row],[کارکرد]]="","",ج_ح_آبان21[[#This Row],[کارکرد]]*حق_خواربار/30)</f>
        <v/>
      </c>
      <c r="O268" s="46" t="str">
        <f>IFERROR(ج_ح_آبان21[[#This Row],[حقوق پایه]]+ج_ح_آبان21[[#This Row],[اضافه کاری]]+ج_ح_آبان21[[#This Row],[حق مسکن]]+ج_ح_آبان21[[#This Row],[حق اولاد]]+ج_ح_آبان21[[#This Row],[حق و خواروبار]],"")</f>
        <v/>
      </c>
      <c r="P268"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68" s="46" t="str">
        <f>IFERROR(ج_ح_آبان21[[#This Row],[حقوق پایه]]+ج_ح_آبان21[[#This Row],[اضافه کاری]]-(2/7)*ج_ح_آبان21[[#This Row],[بیمه پرداختنی]],"")</f>
        <v/>
      </c>
      <c r="R268" s="45"/>
      <c r="S268" s="45"/>
      <c r="T268" s="46" t="str">
        <f>IFERROR(ج_ح_آبان21[[#This Row],[جمع ح و م م بیمه ]]*7%,"")</f>
        <v/>
      </c>
      <c r="U268"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68" s="46" t="str">
        <f>IFERROR(ج_ح_آبان21[[#This Row],[وام]]+ج_ح_آبان21[[#This Row],[مساعده]]+ج_ح_آبان21[[#This Row],[بیمه پرداختنی]]+ج_ح_آبان21[[#This Row],[مالیات پرداختنی]],"")</f>
        <v/>
      </c>
      <c r="W268" s="46" t="str">
        <f>IFERROR(ج_ح_آبان21[[#This Row],[جمع ح و م]]-ج_ح_آبان21[[#This Row],[جمع کسورات]],"")</f>
        <v/>
      </c>
    </row>
    <row r="269" spans="1:23" s="41" customFormat="1" ht="32.1" customHeight="1">
      <c r="B269" s="41">
        <f t="shared" si="6"/>
        <v>8</v>
      </c>
      <c r="C269" s="42" t="str">
        <f>IF(ج_ح_آبان21[[#This Row],[نام]]&lt;&gt;"",ROW()-266+1,"")</f>
        <v/>
      </c>
      <c r="D269" s="43"/>
      <c r="E269" s="43"/>
      <c r="F269" s="44"/>
      <c r="G269" s="45"/>
      <c r="H269" s="46" t="str">
        <f>IF(ج_ح_آبان21[[#This Row],[کارکرد]]*ج_ح_آبان21[[#This Row],[دستمزد روزانه ]]=0,"",ج_ح_آبان21[[#This Row],[کارکرد]]*ج_ح_آبان21[[#This Row],[دستمزد روزانه ]])</f>
        <v/>
      </c>
      <c r="I269" s="47"/>
      <c r="J269" s="48">
        <f>(ج_ح_آبان21[[#This Row],[دستمزد روزانه ]]/7.33)*1.4*ج_ح_آبان21[[#This Row],[مدت اضافه کاری ]]</f>
        <v>0</v>
      </c>
      <c r="K269" s="46" t="str">
        <f>IF(ج_ح_آبان21[[#This Row],[کارکرد]]="","",ج_ح_آبان21[[#This Row],[کارکرد]]*حق_مسکن/30)</f>
        <v/>
      </c>
      <c r="L269" s="49"/>
      <c r="M269" s="46" t="str">
        <f>IF(ج_ح_آبان21[[#This Row],[تعداد فرزندان]]="","",ج_ح_آبان21[[#This Row],[کارکرد]]/30*3*ج_ح_آبان21[[#This Row],[تعداد فرزندان]]*حداقل_حقوق_پایه_روزانه)</f>
        <v/>
      </c>
      <c r="N269" s="46" t="str">
        <f>IF(ج_ح_آبان21[[#This Row],[کارکرد]]="","",ج_ح_آبان21[[#This Row],[کارکرد]]*حق_خواربار/30)</f>
        <v/>
      </c>
      <c r="O269" s="46" t="str">
        <f>IFERROR(ج_ح_آبان21[[#This Row],[حقوق پایه]]+ج_ح_آبان21[[#This Row],[اضافه کاری]]+ج_ح_آبان21[[#This Row],[حق مسکن]]+ج_ح_آبان21[[#This Row],[حق اولاد]]+ج_ح_آبان21[[#This Row],[حق و خواروبار]],"")</f>
        <v/>
      </c>
      <c r="P269"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69" s="46" t="str">
        <f>IFERROR(ج_ح_آبان21[[#This Row],[حقوق پایه]]+ج_ح_آبان21[[#This Row],[اضافه کاری]]-(2/7)*ج_ح_آبان21[[#This Row],[بیمه پرداختنی]],"")</f>
        <v/>
      </c>
      <c r="R269" s="45"/>
      <c r="S269" s="45"/>
      <c r="T269" s="46" t="str">
        <f>IFERROR(ج_ح_آبان21[[#This Row],[جمع ح و م م بیمه ]]*7%,"")</f>
        <v/>
      </c>
      <c r="U269"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69" s="46" t="str">
        <f>IFERROR(ج_ح_آبان21[[#This Row],[وام]]+ج_ح_آبان21[[#This Row],[مساعده]]+ج_ح_آبان21[[#This Row],[بیمه پرداختنی]]+ج_ح_آبان21[[#This Row],[مالیات پرداختنی]],"")</f>
        <v/>
      </c>
      <c r="W269" s="46" t="str">
        <f>IFERROR(ج_ح_آبان21[[#This Row],[جمع ح و م]]-ج_ح_آبان21[[#This Row],[جمع کسورات]],"")</f>
        <v/>
      </c>
    </row>
    <row r="270" spans="1:23" s="41" customFormat="1" ht="32.1" customHeight="1">
      <c r="B270" s="41">
        <f t="shared" si="6"/>
        <v>8</v>
      </c>
      <c r="C270" s="42" t="str">
        <f>IF(ج_ح_آبان21[[#This Row],[نام]]&lt;&gt;"",ROW()-266+1,"")</f>
        <v/>
      </c>
      <c r="D270" s="43"/>
      <c r="E270" s="43"/>
      <c r="F270" s="44"/>
      <c r="G270" s="45"/>
      <c r="H270" s="46" t="str">
        <f>IF(ج_ح_آبان21[[#This Row],[کارکرد]]*ج_ح_آبان21[[#This Row],[دستمزد روزانه ]]=0,"",ج_ح_آبان21[[#This Row],[کارکرد]]*ج_ح_آبان21[[#This Row],[دستمزد روزانه ]])</f>
        <v/>
      </c>
      <c r="I270" s="47"/>
      <c r="J270" s="48">
        <f>(ج_ح_آبان21[[#This Row],[دستمزد روزانه ]]/7.33)*1.4*ج_ح_آبان21[[#This Row],[مدت اضافه کاری ]]</f>
        <v>0</v>
      </c>
      <c r="K270" s="46" t="str">
        <f>IF(ج_ح_آبان21[[#This Row],[کارکرد]]="","",ج_ح_آبان21[[#This Row],[کارکرد]]*حق_مسکن/30)</f>
        <v/>
      </c>
      <c r="L270" s="49"/>
      <c r="M270" s="46" t="str">
        <f>IF(ج_ح_آبان21[[#This Row],[تعداد فرزندان]]="","",ج_ح_آبان21[[#This Row],[کارکرد]]/30*3*ج_ح_آبان21[[#This Row],[تعداد فرزندان]]*حداقل_حقوق_پایه_روزانه)</f>
        <v/>
      </c>
      <c r="N270" s="46" t="str">
        <f>IF(ج_ح_آبان21[[#This Row],[کارکرد]]="","",ج_ح_آبان21[[#This Row],[کارکرد]]*حق_خواربار/30)</f>
        <v/>
      </c>
      <c r="O270" s="46" t="str">
        <f>IFERROR(ج_ح_آبان21[[#This Row],[حقوق پایه]]+ج_ح_آبان21[[#This Row],[اضافه کاری]]+ج_ح_آبان21[[#This Row],[حق مسکن]]+ج_ح_آبان21[[#This Row],[حق اولاد]]+ج_ح_آبان21[[#This Row],[حق و خواروبار]],"")</f>
        <v/>
      </c>
      <c r="P270"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70" s="46" t="str">
        <f>IFERROR(ج_ح_آبان21[[#This Row],[حقوق پایه]]+ج_ح_آبان21[[#This Row],[اضافه کاری]]-(2/7)*ج_ح_آبان21[[#This Row],[بیمه پرداختنی]],"")</f>
        <v/>
      </c>
      <c r="R270" s="45"/>
      <c r="S270" s="45"/>
      <c r="T270" s="46" t="str">
        <f>IFERROR(ج_ح_آبان21[[#This Row],[جمع ح و م م بیمه ]]*7%,"")</f>
        <v/>
      </c>
      <c r="U270"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70" s="46" t="str">
        <f>IFERROR(ج_ح_آبان21[[#This Row],[وام]]+ج_ح_آبان21[[#This Row],[مساعده]]+ج_ح_آبان21[[#This Row],[بیمه پرداختنی]]+ج_ح_آبان21[[#This Row],[مالیات پرداختنی]],"")</f>
        <v/>
      </c>
      <c r="W270" s="46" t="str">
        <f>IFERROR(ج_ح_آبان21[[#This Row],[جمع ح و م]]-ج_ح_آبان21[[#This Row],[جمع کسورات]],"")</f>
        <v/>
      </c>
    </row>
    <row r="271" spans="1:23" s="41" customFormat="1" ht="32.1" customHeight="1">
      <c r="B271" s="41">
        <f t="shared" si="6"/>
        <v>8</v>
      </c>
      <c r="C271" s="42" t="str">
        <f>IF(ج_ح_آبان21[[#This Row],[نام]]&lt;&gt;"",ROW()-266+1,"")</f>
        <v/>
      </c>
      <c r="D271" s="43"/>
      <c r="E271" s="43"/>
      <c r="F271" s="44"/>
      <c r="G271" s="45"/>
      <c r="H271" s="46" t="str">
        <f>IF(ج_ح_آبان21[[#This Row],[کارکرد]]*ج_ح_آبان21[[#This Row],[دستمزد روزانه ]]=0,"",ج_ح_آبان21[[#This Row],[کارکرد]]*ج_ح_آبان21[[#This Row],[دستمزد روزانه ]])</f>
        <v/>
      </c>
      <c r="I271" s="47"/>
      <c r="J271" s="48">
        <f>(ج_ح_آبان21[[#This Row],[دستمزد روزانه ]]/7.33)*1.4*ج_ح_آبان21[[#This Row],[مدت اضافه کاری ]]</f>
        <v>0</v>
      </c>
      <c r="K271" s="46" t="str">
        <f>IF(ج_ح_آبان21[[#This Row],[کارکرد]]="","",ج_ح_آبان21[[#This Row],[کارکرد]]*حق_مسکن/30)</f>
        <v/>
      </c>
      <c r="L271" s="49"/>
      <c r="M271" s="46" t="str">
        <f>IF(ج_ح_آبان21[[#This Row],[تعداد فرزندان]]="","",ج_ح_آبان21[[#This Row],[کارکرد]]/30*3*ج_ح_آبان21[[#This Row],[تعداد فرزندان]]*حداقل_حقوق_پایه_روزانه)</f>
        <v/>
      </c>
      <c r="N271" s="46" t="str">
        <f>IF(ج_ح_آبان21[[#This Row],[کارکرد]]="","",ج_ح_آبان21[[#This Row],[کارکرد]]*حق_خواربار/30)</f>
        <v/>
      </c>
      <c r="O271" s="46" t="str">
        <f>IFERROR(ج_ح_آبان21[[#This Row],[حقوق پایه]]+ج_ح_آبان21[[#This Row],[اضافه کاری]]+ج_ح_آبان21[[#This Row],[حق مسکن]]+ج_ح_آبان21[[#This Row],[حق اولاد]]+ج_ح_آبان21[[#This Row],[حق و خواروبار]],"")</f>
        <v/>
      </c>
      <c r="P271"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71" s="46" t="str">
        <f>IFERROR(ج_ح_آبان21[[#This Row],[حقوق پایه]]+ج_ح_آبان21[[#This Row],[اضافه کاری]]-(2/7)*ج_ح_آبان21[[#This Row],[بیمه پرداختنی]],"")</f>
        <v/>
      </c>
      <c r="R271" s="45"/>
      <c r="S271" s="45"/>
      <c r="T271" s="46" t="str">
        <f>IFERROR(ج_ح_آبان21[[#This Row],[جمع ح و م م بیمه ]]*7%,"")</f>
        <v/>
      </c>
      <c r="U271"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71" s="46" t="str">
        <f>IFERROR(ج_ح_آبان21[[#This Row],[وام]]+ج_ح_آبان21[[#This Row],[مساعده]]+ج_ح_آبان21[[#This Row],[بیمه پرداختنی]]+ج_ح_آبان21[[#This Row],[مالیات پرداختنی]],"")</f>
        <v/>
      </c>
      <c r="W271" s="46" t="str">
        <f>IFERROR(ج_ح_آبان21[[#This Row],[جمع ح و م]]-ج_ح_آبان21[[#This Row],[جمع کسورات]],"")</f>
        <v/>
      </c>
    </row>
    <row r="272" spans="1:23" s="41" customFormat="1" ht="32.1" customHeight="1">
      <c r="B272" s="41">
        <f t="shared" si="6"/>
        <v>8</v>
      </c>
      <c r="C272" s="42" t="str">
        <f>IF(ج_ح_آبان21[[#This Row],[نام]]&lt;&gt;"",ROW()-266+1,"")</f>
        <v/>
      </c>
      <c r="D272" s="43"/>
      <c r="E272" s="43"/>
      <c r="F272" s="44"/>
      <c r="G272" s="45"/>
      <c r="H272" s="46" t="str">
        <f>IF(ج_ح_آبان21[[#This Row],[کارکرد]]*ج_ح_آبان21[[#This Row],[دستمزد روزانه ]]=0,"",ج_ح_آبان21[[#This Row],[کارکرد]]*ج_ح_آبان21[[#This Row],[دستمزد روزانه ]])</f>
        <v/>
      </c>
      <c r="I272" s="47"/>
      <c r="J272" s="48">
        <f>(ج_ح_آبان21[[#This Row],[دستمزد روزانه ]]/7.33)*1.4*ج_ح_آبان21[[#This Row],[مدت اضافه کاری ]]</f>
        <v>0</v>
      </c>
      <c r="K272" s="46" t="str">
        <f>IF(ج_ح_آبان21[[#This Row],[کارکرد]]="","",ج_ح_آبان21[[#This Row],[کارکرد]]*حق_مسکن/30)</f>
        <v/>
      </c>
      <c r="L272" s="49"/>
      <c r="M272" s="46" t="str">
        <f>IF(ج_ح_آبان21[[#This Row],[تعداد فرزندان]]="","",ج_ح_آبان21[[#This Row],[کارکرد]]/30*3*ج_ح_آبان21[[#This Row],[تعداد فرزندان]]*حداقل_حقوق_پایه_روزانه)</f>
        <v/>
      </c>
      <c r="N272" s="46" t="str">
        <f>IF(ج_ح_آبان21[[#This Row],[کارکرد]]="","",ج_ح_آبان21[[#This Row],[کارکرد]]*حق_خواربار/30)</f>
        <v/>
      </c>
      <c r="O272" s="46" t="str">
        <f>IFERROR(ج_ح_آبان21[[#This Row],[حقوق پایه]]+ج_ح_آبان21[[#This Row],[اضافه کاری]]+ج_ح_آبان21[[#This Row],[حق مسکن]]+ج_ح_آبان21[[#This Row],[حق اولاد]]+ج_ح_آبان21[[#This Row],[حق و خواروبار]],"")</f>
        <v/>
      </c>
      <c r="P272"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72" s="46" t="str">
        <f>IFERROR(ج_ح_آبان21[[#This Row],[حقوق پایه]]+ج_ح_آبان21[[#This Row],[اضافه کاری]]-(2/7)*ج_ح_آبان21[[#This Row],[بیمه پرداختنی]],"")</f>
        <v/>
      </c>
      <c r="R272" s="45"/>
      <c r="S272" s="45"/>
      <c r="T272" s="46" t="str">
        <f>IFERROR(ج_ح_آبان21[[#This Row],[جمع ح و م م بیمه ]]*7%,"")</f>
        <v/>
      </c>
      <c r="U272"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72" s="46" t="str">
        <f>IFERROR(ج_ح_آبان21[[#This Row],[وام]]+ج_ح_آبان21[[#This Row],[مساعده]]+ج_ح_آبان21[[#This Row],[بیمه پرداختنی]]+ج_ح_آبان21[[#This Row],[مالیات پرداختنی]],"")</f>
        <v/>
      </c>
      <c r="W272" s="46" t="str">
        <f>IFERROR(ج_ح_آبان21[[#This Row],[جمع ح و م]]-ج_ح_آبان21[[#This Row],[جمع کسورات]],"")</f>
        <v/>
      </c>
    </row>
    <row r="273" spans="2:23" s="41" customFormat="1" ht="32.1" customHeight="1">
      <c r="B273" s="41">
        <f t="shared" si="6"/>
        <v>8</v>
      </c>
      <c r="C273" s="42" t="str">
        <f>IF(ج_ح_آبان21[[#This Row],[نام]]&lt;&gt;"",ROW()-266+1,"")</f>
        <v/>
      </c>
      <c r="D273" s="43"/>
      <c r="E273" s="43"/>
      <c r="F273" s="44"/>
      <c r="G273" s="45"/>
      <c r="H273" s="46" t="str">
        <f>IF(ج_ح_آبان21[[#This Row],[کارکرد]]*ج_ح_آبان21[[#This Row],[دستمزد روزانه ]]=0,"",ج_ح_آبان21[[#This Row],[کارکرد]]*ج_ح_آبان21[[#This Row],[دستمزد روزانه ]])</f>
        <v/>
      </c>
      <c r="I273" s="47"/>
      <c r="J273" s="48">
        <f>(ج_ح_آبان21[[#This Row],[دستمزد روزانه ]]/7.33)*1.4*ج_ح_آبان21[[#This Row],[مدت اضافه کاری ]]</f>
        <v>0</v>
      </c>
      <c r="K273" s="46" t="str">
        <f>IF(ج_ح_آبان21[[#This Row],[کارکرد]]="","",ج_ح_آبان21[[#This Row],[کارکرد]]*حق_مسکن/30)</f>
        <v/>
      </c>
      <c r="L273" s="49"/>
      <c r="M273" s="46" t="str">
        <f>IF(ج_ح_آبان21[[#This Row],[تعداد فرزندان]]="","",ج_ح_آبان21[[#This Row],[کارکرد]]/30*3*ج_ح_آبان21[[#This Row],[تعداد فرزندان]]*حداقل_حقوق_پایه_روزانه)</f>
        <v/>
      </c>
      <c r="N273" s="46" t="str">
        <f>IF(ج_ح_آبان21[[#This Row],[کارکرد]]="","",ج_ح_آبان21[[#This Row],[کارکرد]]*حق_خواربار/30)</f>
        <v/>
      </c>
      <c r="O273" s="46" t="str">
        <f>IFERROR(ج_ح_آبان21[[#This Row],[حقوق پایه]]+ج_ح_آبان21[[#This Row],[اضافه کاری]]+ج_ح_آبان21[[#This Row],[حق مسکن]]+ج_ح_آبان21[[#This Row],[حق اولاد]]+ج_ح_آبان21[[#This Row],[حق و خواروبار]],"")</f>
        <v/>
      </c>
      <c r="P273"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73" s="46" t="str">
        <f>IFERROR(ج_ح_آبان21[[#This Row],[حقوق پایه]]+ج_ح_آبان21[[#This Row],[اضافه کاری]]-(2/7)*ج_ح_آبان21[[#This Row],[بیمه پرداختنی]],"")</f>
        <v/>
      </c>
      <c r="R273" s="45"/>
      <c r="S273" s="45"/>
      <c r="T273" s="46" t="str">
        <f>IFERROR(ج_ح_آبان21[[#This Row],[جمع ح و م م بیمه ]]*7%,"")</f>
        <v/>
      </c>
      <c r="U273"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73" s="46" t="str">
        <f>IFERROR(ج_ح_آبان21[[#This Row],[وام]]+ج_ح_آبان21[[#This Row],[مساعده]]+ج_ح_آبان21[[#This Row],[بیمه پرداختنی]]+ج_ح_آبان21[[#This Row],[مالیات پرداختنی]],"")</f>
        <v/>
      </c>
      <c r="W273" s="46" t="str">
        <f>IFERROR(ج_ح_آبان21[[#This Row],[جمع ح و م]]-ج_ح_آبان21[[#This Row],[جمع کسورات]],"")</f>
        <v/>
      </c>
    </row>
    <row r="274" spans="2:23" s="41" customFormat="1" ht="32.1" customHeight="1">
      <c r="B274" s="41">
        <f t="shared" si="6"/>
        <v>8</v>
      </c>
      <c r="C274" s="42" t="str">
        <f>IF(ج_ح_آبان21[[#This Row],[نام]]&lt;&gt;"",ROW()-266+1,"")</f>
        <v/>
      </c>
      <c r="D274" s="43"/>
      <c r="E274" s="43"/>
      <c r="F274" s="44"/>
      <c r="G274" s="45"/>
      <c r="H274" s="46" t="str">
        <f>IF(ج_ح_آبان21[[#This Row],[کارکرد]]*ج_ح_آبان21[[#This Row],[دستمزد روزانه ]]=0,"",ج_ح_آبان21[[#This Row],[کارکرد]]*ج_ح_آبان21[[#This Row],[دستمزد روزانه ]])</f>
        <v/>
      </c>
      <c r="I274" s="47"/>
      <c r="J274" s="48">
        <f>(ج_ح_آبان21[[#This Row],[دستمزد روزانه ]]/7.33)*1.4*ج_ح_آبان21[[#This Row],[مدت اضافه کاری ]]</f>
        <v>0</v>
      </c>
      <c r="K274" s="46" t="str">
        <f>IF(ج_ح_آبان21[[#This Row],[کارکرد]]="","",ج_ح_آبان21[[#This Row],[کارکرد]]*حق_مسکن/30)</f>
        <v/>
      </c>
      <c r="L274" s="49"/>
      <c r="M274" s="46" t="str">
        <f>IF(ج_ح_آبان21[[#This Row],[تعداد فرزندان]]="","",ج_ح_آبان21[[#This Row],[کارکرد]]/30*3*ج_ح_آبان21[[#This Row],[تعداد فرزندان]]*حداقل_حقوق_پایه_روزانه)</f>
        <v/>
      </c>
      <c r="N274" s="46" t="str">
        <f>IF(ج_ح_آبان21[[#This Row],[کارکرد]]="","",ج_ح_آبان21[[#This Row],[کارکرد]]*حق_خواربار/30)</f>
        <v/>
      </c>
      <c r="O274" s="46" t="str">
        <f>IFERROR(ج_ح_آبان21[[#This Row],[حقوق پایه]]+ج_ح_آبان21[[#This Row],[اضافه کاری]]+ج_ح_آبان21[[#This Row],[حق مسکن]]+ج_ح_آبان21[[#This Row],[حق اولاد]]+ج_ح_آبان21[[#This Row],[حق و خواروبار]],"")</f>
        <v/>
      </c>
      <c r="P274"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74" s="46" t="str">
        <f>IFERROR(ج_ح_آبان21[[#This Row],[حقوق پایه]]+ج_ح_آبان21[[#This Row],[اضافه کاری]]-(2/7)*ج_ح_آبان21[[#This Row],[بیمه پرداختنی]],"")</f>
        <v/>
      </c>
      <c r="R274" s="45"/>
      <c r="S274" s="45"/>
      <c r="T274" s="46" t="str">
        <f>IFERROR(ج_ح_آبان21[[#This Row],[جمع ح و م م بیمه ]]*7%,"")</f>
        <v/>
      </c>
      <c r="U274"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74" s="46" t="str">
        <f>IFERROR(ج_ح_آبان21[[#This Row],[وام]]+ج_ح_آبان21[[#This Row],[مساعده]]+ج_ح_آبان21[[#This Row],[بیمه پرداختنی]]+ج_ح_آبان21[[#This Row],[مالیات پرداختنی]],"")</f>
        <v/>
      </c>
      <c r="W274" s="46" t="str">
        <f>IFERROR(ج_ح_آبان21[[#This Row],[جمع ح و م]]-ج_ح_آبان21[[#This Row],[جمع کسورات]],"")</f>
        <v/>
      </c>
    </row>
    <row r="275" spans="2:23" s="41" customFormat="1" ht="32.1" customHeight="1">
      <c r="B275" s="41">
        <f t="shared" si="6"/>
        <v>8</v>
      </c>
      <c r="C275" s="42" t="str">
        <f>IF(ج_ح_آبان21[[#This Row],[نام]]&lt;&gt;"",ROW()-266+1,"")</f>
        <v/>
      </c>
      <c r="D275" s="43"/>
      <c r="E275" s="43"/>
      <c r="F275" s="44"/>
      <c r="G275" s="45"/>
      <c r="H275" s="46" t="str">
        <f>IF(ج_ح_آبان21[[#This Row],[کارکرد]]*ج_ح_آبان21[[#This Row],[دستمزد روزانه ]]=0,"",ج_ح_آبان21[[#This Row],[کارکرد]]*ج_ح_آبان21[[#This Row],[دستمزد روزانه ]])</f>
        <v/>
      </c>
      <c r="I275" s="47"/>
      <c r="J275" s="48">
        <f>(ج_ح_آبان21[[#This Row],[دستمزد روزانه ]]/7.33)*1.4*ج_ح_آبان21[[#This Row],[مدت اضافه کاری ]]</f>
        <v>0</v>
      </c>
      <c r="K275" s="46" t="str">
        <f>IF(ج_ح_آبان21[[#This Row],[کارکرد]]="","",ج_ح_آبان21[[#This Row],[کارکرد]]*حق_مسکن/30)</f>
        <v/>
      </c>
      <c r="L275" s="49"/>
      <c r="M275" s="46" t="str">
        <f>IF(ج_ح_آبان21[[#This Row],[تعداد فرزندان]]="","",ج_ح_آبان21[[#This Row],[کارکرد]]/30*3*ج_ح_آبان21[[#This Row],[تعداد فرزندان]]*حداقل_حقوق_پایه_روزانه)</f>
        <v/>
      </c>
      <c r="N275" s="46" t="str">
        <f>IF(ج_ح_آبان21[[#This Row],[کارکرد]]="","",ج_ح_آبان21[[#This Row],[کارکرد]]*حق_خواربار/30)</f>
        <v/>
      </c>
      <c r="O275" s="46" t="str">
        <f>IFERROR(ج_ح_آبان21[[#This Row],[حقوق پایه]]+ج_ح_آبان21[[#This Row],[اضافه کاری]]+ج_ح_آبان21[[#This Row],[حق مسکن]]+ج_ح_آبان21[[#This Row],[حق اولاد]]+ج_ح_آبان21[[#This Row],[حق و خواروبار]],"")</f>
        <v/>
      </c>
      <c r="P275"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75" s="46" t="str">
        <f>IFERROR(ج_ح_آبان21[[#This Row],[حقوق پایه]]+ج_ح_آبان21[[#This Row],[اضافه کاری]]-(2/7)*ج_ح_آبان21[[#This Row],[بیمه پرداختنی]],"")</f>
        <v/>
      </c>
      <c r="R275" s="45"/>
      <c r="S275" s="45"/>
      <c r="T275" s="46" t="str">
        <f>IFERROR(ج_ح_آبان21[[#This Row],[جمع ح و م م بیمه ]]*7%,"")</f>
        <v/>
      </c>
      <c r="U275"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75" s="46" t="str">
        <f>IFERROR(ج_ح_آبان21[[#This Row],[وام]]+ج_ح_آبان21[[#This Row],[مساعده]]+ج_ح_آبان21[[#This Row],[بیمه پرداختنی]]+ج_ح_آبان21[[#This Row],[مالیات پرداختنی]],"")</f>
        <v/>
      </c>
      <c r="W275" s="46" t="str">
        <f>IFERROR(ج_ح_آبان21[[#This Row],[جمع ح و م]]-ج_ح_آبان21[[#This Row],[جمع کسورات]],"")</f>
        <v/>
      </c>
    </row>
    <row r="276" spans="2:23" s="41" customFormat="1" ht="32.1" customHeight="1">
      <c r="B276" s="41">
        <f t="shared" si="6"/>
        <v>8</v>
      </c>
      <c r="C276" s="42" t="str">
        <f>IF(ج_ح_آبان21[[#This Row],[نام]]&lt;&gt;"",ROW()-266+1,"")</f>
        <v/>
      </c>
      <c r="D276" s="43"/>
      <c r="E276" s="43"/>
      <c r="F276" s="44"/>
      <c r="G276" s="45"/>
      <c r="H276" s="46" t="str">
        <f>IF(ج_ح_آبان21[[#This Row],[کارکرد]]*ج_ح_آبان21[[#This Row],[دستمزد روزانه ]]=0,"",ج_ح_آبان21[[#This Row],[کارکرد]]*ج_ح_آبان21[[#This Row],[دستمزد روزانه ]])</f>
        <v/>
      </c>
      <c r="I276" s="47"/>
      <c r="J276" s="48">
        <f>(ج_ح_آبان21[[#This Row],[دستمزد روزانه ]]/7.33)*1.4*ج_ح_آبان21[[#This Row],[مدت اضافه کاری ]]</f>
        <v>0</v>
      </c>
      <c r="K276" s="46" t="str">
        <f>IF(ج_ح_آبان21[[#This Row],[کارکرد]]="","",ج_ح_آبان21[[#This Row],[کارکرد]]*حق_مسکن/30)</f>
        <v/>
      </c>
      <c r="L276" s="49"/>
      <c r="M276" s="46" t="str">
        <f>IF(ج_ح_آبان21[[#This Row],[تعداد فرزندان]]="","",ج_ح_آبان21[[#This Row],[کارکرد]]/30*3*ج_ح_آبان21[[#This Row],[تعداد فرزندان]]*حداقل_حقوق_پایه_روزانه)</f>
        <v/>
      </c>
      <c r="N276" s="46" t="str">
        <f>IF(ج_ح_آبان21[[#This Row],[کارکرد]]="","",ج_ح_آبان21[[#This Row],[کارکرد]]*حق_خواربار/30)</f>
        <v/>
      </c>
      <c r="O276" s="46" t="str">
        <f>IFERROR(ج_ح_آبان21[[#This Row],[حقوق پایه]]+ج_ح_آبان21[[#This Row],[اضافه کاری]]+ج_ح_آبان21[[#This Row],[حق مسکن]]+ج_ح_آبان21[[#This Row],[حق اولاد]]+ج_ح_آبان21[[#This Row],[حق و خواروبار]],"")</f>
        <v/>
      </c>
      <c r="P276"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76" s="46" t="str">
        <f>IFERROR(ج_ح_آبان21[[#This Row],[حقوق پایه]]+ج_ح_آبان21[[#This Row],[اضافه کاری]]-(2/7)*ج_ح_آبان21[[#This Row],[بیمه پرداختنی]],"")</f>
        <v/>
      </c>
      <c r="R276" s="45"/>
      <c r="S276" s="45"/>
      <c r="T276" s="46" t="str">
        <f>IFERROR(ج_ح_آبان21[[#This Row],[جمع ح و م م بیمه ]]*7%,"")</f>
        <v/>
      </c>
      <c r="U276"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76" s="46" t="str">
        <f>IFERROR(ج_ح_آبان21[[#This Row],[وام]]+ج_ح_آبان21[[#This Row],[مساعده]]+ج_ح_آبان21[[#This Row],[بیمه پرداختنی]]+ج_ح_آبان21[[#This Row],[مالیات پرداختنی]],"")</f>
        <v/>
      </c>
      <c r="W276" s="46" t="str">
        <f>IFERROR(ج_ح_آبان21[[#This Row],[جمع ح و م]]-ج_ح_آبان21[[#This Row],[جمع کسورات]],"")</f>
        <v/>
      </c>
    </row>
    <row r="277" spans="2:23" s="41" customFormat="1" ht="32.1" customHeight="1">
      <c r="B277" s="41">
        <f t="shared" si="6"/>
        <v>8</v>
      </c>
      <c r="C277" s="42" t="str">
        <f>IF(ج_ح_آبان21[[#This Row],[نام]]&lt;&gt;"",ROW()-266+1,"")</f>
        <v/>
      </c>
      <c r="D277" s="43"/>
      <c r="E277" s="43"/>
      <c r="F277" s="44"/>
      <c r="G277" s="45"/>
      <c r="H277" s="46" t="str">
        <f>IF(ج_ح_آبان21[[#This Row],[کارکرد]]*ج_ح_آبان21[[#This Row],[دستمزد روزانه ]]=0,"",ج_ح_آبان21[[#This Row],[کارکرد]]*ج_ح_آبان21[[#This Row],[دستمزد روزانه ]])</f>
        <v/>
      </c>
      <c r="I277" s="47"/>
      <c r="J277" s="48">
        <f>(ج_ح_آبان21[[#This Row],[دستمزد روزانه ]]/7.33)*1.4*ج_ح_آبان21[[#This Row],[مدت اضافه کاری ]]</f>
        <v>0</v>
      </c>
      <c r="K277" s="46" t="str">
        <f>IF(ج_ح_آبان21[[#This Row],[کارکرد]]="","",ج_ح_آبان21[[#This Row],[کارکرد]]*حق_مسکن/30)</f>
        <v/>
      </c>
      <c r="L277" s="49"/>
      <c r="M277" s="46" t="str">
        <f>IF(ج_ح_آبان21[[#This Row],[تعداد فرزندان]]="","",ج_ح_آبان21[[#This Row],[کارکرد]]/30*3*ج_ح_آبان21[[#This Row],[تعداد فرزندان]]*حداقل_حقوق_پایه_روزانه)</f>
        <v/>
      </c>
      <c r="N277" s="46" t="str">
        <f>IF(ج_ح_آبان21[[#This Row],[کارکرد]]="","",ج_ح_آبان21[[#This Row],[کارکرد]]*حق_خواربار/30)</f>
        <v/>
      </c>
      <c r="O277" s="46" t="str">
        <f>IFERROR(ج_ح_آبان21[[#This Row],[حقوق پایه]]+ج_ح_آبان21[[#This Row],[اضافه کاری]]+ج_ح_آبان21[[#This Row],[حق مسکن]]+ج_ح_آبان21[[#This Row],[حق اولاد]]+ج_ح_آبان21[[#This Row],[حق و خواروبار]],"")</f>
        <v/>
      </c>
      <c r="P277"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77" s="46" t="str">
        <f>IFERROR(ج_ح_آبان21[[#This Row],[حقوق پایه]]+ج_ح_آبان21[[#This Row],[اضافه کاری]]-(2/7)*ج_ح_آبان21[[#This Row],[بیمه پرداختنی]],"")</f>
        <v/>
      </c>
      <c r="R277" s="45"/>
      <c r="S277" s="45"/>
      <c r="T277" s="46" t="str">
        <f>IFERROR(ج_ح_آبان21[[#This Row],[جمع ح و م م بیمه ]]*7%,"")</f>
        <v/>
      </c>
      <c r="U277"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77" s="46" t="str">
        <f>IFERROR(ج_ح_آبان21[[#This Row],[وام]]+ج_ح_آبان21[[#This Row],[مساعده]]+ج_ح_آبان21[[#This Row],[بیمه پرداختنی]]+ج_ح_آبان21[[#This Row],[مالیات پرداختنی]],"")</f>
        <v/>
      </c>
      <c r="W277" s="46" t="str">
        <f>IFERROR(ج_ح_آبان21[[#This Row],[جمع ح و م]]-ج_ح_آبان21[[#This Row],[جمع کسورات]],"")</f>
        <v/>
      </c>
    </row>
    <row r="278" spans="2:23" s="41" customFormat="1" ht="32.1" customHeight="1">
      <c r="B278" s="41">
        <f t="shared" si="6"/>
        <v>8</v>
      </c>
      <c r="C278" s="42" t="str">
        <f>IF(ج_ح_آبان21[[#This Row],[نام]]&lt;&gt;"",ROW()-266+1,"")</f>
        <v/>
      </c>
      <c r="D278" s="43"/>
      <c r="E278" s="43"/>
      <c r="F278" s="44"/>
      <c r="G278" s="45"/>
      <c r="H278" s="46" t="str">
        <f>IF(ج_ح_آبان21[[#This Row],[کارکرد]]*ج_ح_آبان21[[#This Row],[دستمزد روزانه ]]=0,"",ج_ح_آبان21[[#This Row],[کارکرد]]*ج_ح_آبان21[[#This Row],[دستمزد روزانه ]])</f>
        <v/>
      </c>
      <c r="I278" s="47"/>
      <c r="J278" s="48">
        <f>(ج_ح_آبان21[[#This Row],[دستمزد روزانه ]]/7.33)*1.4*ج_ح_آبان21[[#This Row],[مدت اضافه کاری ]]</f>
        <v>0</v>
      </c>
      <c r="K278" s="46" t="str">
        <f>IF(ج_ح_آبان21[[#This Row],[کارکرد]]="","",ج_ح_آبان21[[#This Row],[کارکرد]]*حق_مسکن/30)</f>
        <v/>
      </c>
      <c r="L278" s="49"/>
      <c r="M278" s="46" t="str">
        <f>IF(ج_ح_آبان21[[#This Row],[تعداد فرزندان]]="","",ج_ح_آبان21[[#This Row],[کارکرد]]/30*3*ج_ح_آبان21[[#This Row],[تعداد فرزندان]]*حداقل_حقوق_پایه_روزانه)</f>
        <v/>
      </c>
      <c r="N278" s="46" t="str">
        <f>IF(ج_ح_آبان21[[#This Row],[کارکرد]]="","",ج_ح_آبان21[[#This Row],[کارکرد]]*حق_خواربار/30)</f>
        <v/>
      </c>
      <c r="O278" s="46" t="str">
        <f>IFERROR(ج_ح_آبان21[[#This Row],[حقوق پایه]]+ج_ح_آبان21[[#This Row],[اضافه کاری]]+ج_ح_آبان21[[#This Row],[حق مسکن]]+ج_ح_آبان21[[#This Row],[حق اولاد]]+ج_ح_آبان21[[#This Row],[حق و خواروبار]],"")</f>
        <v/>
      </c>
      <c r="P278"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78" s="46" t="str">
        <f>IFERROR(ج_ح_آبان21[[#This Row],[حقوق پایه]]+ج_ح_آبان21[[#This Row],[اضافه کاری]]-(2/7)*ج_ح_آبان21[[#This Row],[بیمه پرداختنی]],"")</f>
        <v/>
      </c>
      <c r="R278" s="45"/>
      <c r="S278" s="45"/>
      <c r="T278" s="46" t="str">
        <f>IFERROR(ج_ح_آبان21[[#This Row],[جمع ح و م م بیمه ]]*7%,"")</f>
        <v/>
      </c>
      <c r="U278"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78" s="46" t="str">
        <f>IFERROR(ج_ح_آبان21[[#This Row],[وام]]+ج_ح_آبان21[[#This Row],[مساعده]]+ج_ح_آبان21[[#This Row],[بیمه پرداختنی]]+ج_ح_آبان21[[#This Row],[مالیات پرداختنی]],"")</f>
        <v/>
      </c>
      <c r="W278" s="46" t="str">
        <f>IFERROR(ج_ح_آبان21[[#This Row],[جمع ح و م]]-ج_ح_آبان21[[#This Row],[جمع کسورات]],"")</f>
        <v/>
      </c>
    </row>
    <row r="279" spans="2:23" s="41" customFormat="1" ht="32.1" customHeight="1">
      <c r="B279" s="41">
        <f t="shared" si="6"/>
        <v>8</v>
      </c>
      <c r="C279" s="42" t="str">
        <f>IF(ج_ح_آبان21[[#This Row],[نام]]&lt;&gt;"",ROW()-266+1,"")</f>
        <v/>
      </c>
      <c r="D279" s="43"/>
      <c r="E279" s="43"/>
      <c r="F279" s="44"/>
      <c r="G279" s="45"/>
      <c r="H279" s="46" t="str">
        <f>IF(ج_ح_آبان21[[#This Row],[کارکرد]]*ج_ح_آبان21[[#This Row],[دستمزد روزانه ]]=0,"",ج_ح_آبان21[[#This Row],[کارکرد]]*ج_ح_آبان21[[#This Row],[دستمزد روزانه ]])</f>
        <v/>
      </c>
      <c r="I279" s="47"/>
      <c r="J279" s="48">
        <f>(ج_ح_آبان21[[#This Row],[دستمزد روزانه ]]/7.33)*1.4*ج_ح_آبان21[[#This Row],[مدت اضافه کاری ]]</f>
        <v>0</v>
      </c>
      <c r="K279" s="46" t="str">
        <f>IF(ج_ح_آبان21[[#This Row],[کارکرد]]="","",ج_ح_آبان21[[#This Row],[کارکرد]]*حق_مسکن/30)</f>
        <v/>
      </c>
      <c r="L279" s="49"/>
      <c r="M279" s="46" t="str">
        <f>IF(ج_ح_آبان21[[#This Row],[تعداد فرزندان]]="","",ج_ح_آبان21[[#This Row],[کارکرد]]/30*3*ج_ح_آبان21[[#This Row],[تعداد فرزندان]]*حداقل_حقوق_پایه_روزانه)</f>
        <v/>
      </c>
      <c r="N279" s="46" t="str">
        <f>IF(ج_ح_آبان21[[#This Row],[کارکرد]]="","",ج_ح_آبان21[[#This Row],[کارکرد]]*حق_خواربار/30)</f>
        <v/>
      </c>
      <c r="O279" s="46" t="str">
        <f>IFERROR(ج_ح_آبان21[[#This Row],[حقوق پایه]]+ج_ح_آبان21[[#This Row],[اضافه کاری]]+ج_ح_آبان21[[#This Row],[حق مسکن]]+ج_ح_آبان21[[#This Row],[حق اولاد]]+ج_ح_آبان21[[#This Row],[حق و خواروبار]],"")</f>
        <v/>
      </c>
      <c r="P279"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79" s="46" t="str">
        <f>IFERROR(ج_ح_آبان21[[#This Row],[حقوق پایه]]+ج_ح_آبان21[[#This Row],[اضافه کاری]]-(2/7)*ج_ح_آبان21[[#This Row],[بیمه پرداختنی]],"")</f>
        <v/>
      </c>
      <c r="R279" s="45"/>
      <c r="S279" s="45"/>
      <c r="T279" s="46" t="str">
        <f>IFERROR(ج_ح_آبان21[[#This Row],[جمع ح و م م بیمه ]]*7%,"")</f>
        <v/>
      </c>
      <c r="U279"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79" s="46" t="str">
        <f>IFERROR(ج_ح_آبان21[[#This Row],[وام]]+ج_ح_آبان21[[#This Row],[مساعده]]+ج_ح_آبان21[[#This Row],[بیمه پرداختنی]]+ج_ح_آبان21[[#This Row],[مالیات پرداختنی]],"")</f>
        <v/>
      </c>
      <c r="W279" s="46" t="str">
        <f>IFERROR(ج_ح_آبان21[[#This Row],[جمع ح و م]]-ج_ح_آبان21[[#This Row],[جمع کسورات]],"")</f>
        <v/>
      </c>
    </row>
    <row r="280" spans="2:23" s="41" customFormat="1" ht="32.1" customHeight="1">
      <c r="B280" s="41">
        <f t="shared" si="6"/>
        <v>8</v>
      </c>
      <c r="C280" s="42" t="str">
        <f>IF(ج_ح_آبان21[[#This Row],[نام]]&lt;&gt;"",ROW()-266+1,"")</f>
        <v/>
      </c>
      <c r="D280" s="43"/>
      <c r="E280" s="43"/>
      <c r="F280" s="44"/>
      <c r="G280" s="45"/>
      <c r="H280" s="46" t="str">
        <f>IF(ج_ح_آبان21[[#This Row],[کارکرد]]*ج_ح_آبان21[[#This Row],[دستمزد روزانه ]]=0,"",ج_ح_آبان21[[#This Row],[کارکرد]]*ج_ح_آبان21[[#This Row],[دستمزد روزانه ]])</f>
        <v/>
      </c>
      <c r="I280" s="47"/>
      <c r="J280" s="48">
        <f>(ج_ح_آبان21[[#This Row],[دستمزد روزانه ]]/7.33)*1.4*ج_ح_آبان21[[#This Row],[مدت اضافه کاری ]]</f>
        <v>0</v>
      </c>
      <c r="K280" s="46" t="str">
        <f>IF(ج_ح_آبان21[[#This Row],[کارکرد]]="","",ج_ح_آبان21[[#This Row],[کارکرد]]*حق_مسکن/30)</f>
        <v/>
      </c>
      <c r="L280" s="49"/>
      <c r="M280" s="46" t="str">
        <f>IF(ج_ح_آبان21[[#This Row],[تعداد فرزندان]]="","",ج_ح_آبان21[[#This Row],[کارکرد]]/30*3*ج_ح_آبان21[[#This Row],[تعداد فرزندان]]*حداقل_حقوق_پایه_روزانه)</f>
        <v/>
      </c>
      <c r="N280" s="46" t="str">
        <f>IF(ج_ح_آبان21[[#This Row],[کارکرد]]="","",ج_ح_آبان21[[#This Row],[کارکرد]]*حق_خواربار/30)</f>
        <v/>
      </c>
      <c r="O280" s="46" t="str">
        <f>IFERROR(ج_ح_آبان21[[#This Row],[حقوق پایه]]+ج_ح_آبان21[[#This Row],[اضافه کاری]]+ج_ح_آبان21[[#This Row],[حق مسکن]]+ج_ح_آبان21[[#This Row],[حق اولاد]]+ج_ح_آبان21[[#This Row],[حق و خواروبار]],"")</f>
        <v/>
      </c>
      <c r="P280"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80" s="46" t="str">
        <f>IFERROR(ج_ح_آبان21[[#This Row],[حقوق پایه]]+ج_ح_آبان21[[#This Row],[اضافه کاری]]-(2/7)*ج_ح_آبان21[[#This Row],[بیمه پرداختنی]],"")</f>
        <v/>
      </c>
      <c r="R280" s="45"/>
      <c r="S280" s="45"/>
      <c r="T280" s="46" t="str">
        <f>IFERROR(ج_ح_آبان21[[#This Row],[جمع ح و م م بیمه ]]*7%,"")</f>
        <v/>
      </c>
      <c r="U280"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80" s="46" t="str">
        <f>IFERROR(ج_ح_آبان21[[#This Row],[وام]]+ج_ح_آبان21[[#This Row],[مساعده]]+ج_ح_آبان21[[#This Row],[بیمه پرداختنی]]+ج_ح_آبان21[[#This Row],[مالیات پرداختنی]],"")</f>
        <v/>
      </c>
      <c r="W280" s="46" t="str">
        <f>IFERROR(ج_ح_آبان21[[#This Row],[جمع ح و م]]-ج_ح_آبان21[[#This Row],[جمع کسورات]],"")</f>
        <v/>
      </c>
    </row>
    <row r="281" spans="2:23" s="41" customFormat="1" ht="32.1" customHeight="1">
      <c r="B281" s="41">
        <f t="shared" si="6"/>
        <v>8</v>
      </c>
      <c r="C281" s="42" t="str">
        <f>IF(ج_ح_آبان21[[#This Row],[نام]]&lt;&gt;"",ROW()-266+1,"")</f>
        <v/>
      </c>
      <c r="D281" s="43"/>
      <c r="E281" s="43"/>
      <c r="F281" s="44"/>
      <c r="G281" s="45"/>
      <c r="H281" s="46" t="str">
        <f>IF(ج_ح_آبان21[[#This Row],[کارکرد]]*ج_ح_آبان21[[#This Row],[دستمزد روزانه ]]=0,"",ج_ح_آبان21[[#This Row],[کارکرد]]*ج_ح_آبان21[[#This Row],[دستمزد روزانه ]])</f>
        <v/>
      </c>
      <c r="I281" s="47"/>
      <c r="J281" s="48">
        <f>(ج_ح_آبان21[[#This Row],[دستمزد روزانه ]]/7.33)*1.4*ج_ح_آبان21[[#This Row],[مدت اضافه کاری ]]</f>
        <v>0</v>
      </c>
      <c r="K281" s="46" t="str">
        <f>IF(ج_ح_آبان21[[#This Row],[کارکرد]]="","",ج_ح_آبان21[[#This Row],[کارکرد]]*حق_مسکن/30)</f>
        <v/>
      </c>
      <c r="L281" s="49"/>
      <c r="M281" s="46" t="str">
        <f>IF(ج_ح_آبان21[[#This Row],[تعداد فرزندان]]="","",ج_ح_آبان21[[#This Row],[کارکرد]]/30*3*ج_ح_آبان21[[#This Row],[تعداد فرزندان]]*حداقل_حقوق_پایه_روزانه)</f>
        <v/>
      </c>
      <c r="N281" s="46" t="str">
        <f>IF(ج_ح_آبان21[[#This Row],[کارکرد]]="","",ج_ح_آبان21[[#This Row],[کارکرد]]*حق_خواربار/30)</f>
        <v/>
      </c>
      <c r="O281" s="46" t="str">
        <f>IFERROR(ج_ح_آبان21[[#This Row],[حقوق پایه]]+ج_ح_آبان21[[#This Row],[اضافه کاری]]+ج_ح_آبان21[[#This Row],[حق مسکن]]+ج_ح_آبان21[[#This Row],[حق اولاد]]+ج_ح_آبان21[[#This Row],[حق و خواروبار]],"")</f>
        <v/>
      </c>
      <c r="P281"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81" s="46" t="str">
        <f>IFERROR(ج_ح_آبان21[[#This Row],[حقوق پایه]]+ج_ح_آبان21[[#This Row],[اضافه کاری]]-(2/7)*ج_ح_آبان21[[#This Row],[بیمه پرداختنی]],"")</f>
        <v/>
      </c>
      <c r="R281" s="45"/>
      <c r="S281" s="45"/>
      <c r="T281" s="46" t="str">
        <f>IFERROR(ج_ح_آبان21[[#This Row],[جمع ح و م م بیمه ]]*7%,"")</f>
        <v/>
      </c>
      <c r="U281"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81" s="46" t="str">
        <f>IFERROR(ج_ح_آبان21[[#This Row],[وام]]+ج_ح_آبان21[[#This Row],[مساعده]]+ج_ح_آبان21[[#This Row],[بیمه پرداختنی]]+ج_ح_آبان21[[#This Row],[مالیات پرداختنی]],"")</f>
        <v/>
      </c>
      <c r="W281" s="46" t="str">
        <f>IFERROR(ج_ح_آبان21[[#This Row],[جمع ح و م]]-ج_ح_آبان21[[#This Row],[جمع کسورات]],"")</f>
        <v/>
      </c>
    </row>
    <row r="282" spans="2:23" s="41" customFormat="1" ht="32.1" customHeight="1">
      <c r="B282" s="41">
        <f t="shared" si="6"/>
        <v>8</v>
      </c>
      <c r="C282" s="42" t="str">
        <f>IF(ج_ح_آبان21[[#This Row],[نام]]&lt;&gt;"",ROW()-266+1,"")</f>
        <v/>
      </c>
      <c r="D282" s="43"/>
      <c r="E282" s="43"/>
      <c r="F282" s="44"/>
      <c r="G282" s="45"/>
      <c r="H282" s="46" t="str">
        <f>IF(ج_ح_آبان21[[#This Row],[کارکرد]]*ج_ح_آبان21[[#This Row],[دستمزد روزانه ]]=0,"",ج_ح_آبان21[[#This Row],[کارکرد]]*ج_ح_آبان21[[#This Row],[دستمزد روزانه ]])</f>
        <v/>
      </c>
      <c r="I282" s="47"/>
      <c r="J282" s="48">
        <f>(ج_ح_آبان21[[#This Row],[دستمزد روزانه ]]/7.33)*1.4*ج_ح_آبان21[[#This Row],[مدت اضافه کاری ]]</f>
        <v>0</v>
      </c>
      <c r="K282" s="46" t="str">
        <f>IF(ج_ح_آبان21[[#This Row],[کارکرد]]="","",ج_ح_آبان21[[#This Row],[کارکرد]]*حق_مسکن/30)</f>
        <v/>
      </c>
      <c r="L282" s="49"/>
      <c r="M282" s="46" t="str">
        <f>IF(ج_ح_آبان21[[#This Row],[تعداد فرزندان]]="","",ج_ح_آبان21[[#This Row],[کارکرد]]/30*3*ج_ح_آبان21[[#This Row],[تعداد فرزندان]]*حداقل_حقوق_پایه_روزانه)</f>
        <v/>
      </c>
      <c r="N282" s="46" t="str">
        <f>IF(ج_ح_آبان21[[#This Row],[کارکرد]]="","",ج_ح_آبان21[[#This Row],[کارکرد]]*حق_خواربار/30)</f>
        <v/>
      </c>
      <c r="O282" s="46" t="str">
        <f>IFERROR(ج_ح_آبان21[[#This Row],[حقوق پایه]]+ج_ح_آبان21[[#This Row],[اضافه کاری]]+ج_ح_آبان21[[#This Row],[حق مسکن]]+ج_ح_آبان21[[#This Row],[حق اولاد]]+ج_ح_آبان21[[#This Row],[حق و خواروبار]],"")</f>
        <v/>
      </c>
      <c r="P282"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82" s="46" t="str">
        <f>IFERROR(ج_ح_آبان21[[#This Row],[حقوق پایه]]+ج_ح_آبان21[[#This Row],[اضافه کاری]]-(2/7)*ج_ح_آبان21[[#This Row],[بیمه پرداختنی]],"")</f>
        <v/>
      </c>
      <c r="R282" s="45"/>
      <c r="S282" s="45"/>
      <c r="T282" s="46" t="str">
        <f>IFERROR(ج_ح_آبان21[[#This Row],[جمع ح و م م بیمه ]]*7%,"")</f>
        <v/>
      </c>
      <c r="U282"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82" s="46" t="str">
        <f>IFERROR(ج_ح_آبان21[[#This Row],[وام]]+ج_ح_آبان21[[#This Row],[مساعده]]+ج_ح_آبان21[[#This Row],[بیمه پرداختنی]]+ج_ح_آبان21[[#This Row],[مالیات پرداختنی]],"")</f>
        <v/>
      </c>
      <c r="W282" s="46" t="str">
        <f>IFERROR(ج_ح_آبان21[[#This Row],[جمع ح و م]]-ج_ح_آبان21[[#This Row],[جمع کسورات]],"")</f>
        <v/>
      </c>
    </row>
    <row r="283" spans="2:23" s="41" customFormat="1" ht="32.1" customHeight="1">
      <c r="B283" s="41">
        <f t="shared" si="6"/>
        <v>8</v>
      </c>
      <c r="C283" s="42" t="str">
        <f>IF(ج_ح_آبان21[[#This Row],[نام]]&lt;&gt;"",ROW()-266+1,"")</f>
        <v/>
      </c>
      <c r="D283" s="43"/>
      <c r="E283" s="43"/>
      <c r="F283" s="44"/>
      <c r="G283" s="45"/>
      <c r="H283" s="46" t="str">
        <f>IF(ج_ح_آبان21[[#This Row],[کارکرد]]*ج_ح_آبان21[[#This Row],[دستمزد روزانه ]]=0,"",ج_ح_آبان21[[#This Row],[کارکرد]]*ج_ح_آبان21[[#This Row],[دستمزد روزانه ]])</f>
        <v/>
      </c>
      <c r="I283" s="47"/>
      <c r="J283" s="48">
        <f>(ج_ح_آبان21[[#This Row],[دستمزد روزانه ]]/7.33)*1.4*ج_ح_آبان21[[#This Row],[مدت اضافه کاری ]]</f>
        <v>0</v>
      </c>
      <c r="K283" s="46" t="str">
        <f>IF(ج_ح_آبان21[[#This Row],[کارکرد]]="","",ج_ح_آبان21[[#This Row],[کارکرد]]*حق_مسکن/30)</f>
        <v/>
      </c>
      <c r="L283" s="49"/>
      <c r="M283" s="46" t="str">
        <f>IF(ج_ح_آبان21[[#This Row],[تعداد فرزندان]]="","",ج_ح_آبان21[[#This Row],[کارکرد]]/30*3*ج_ح_آبان21[[#This Row],[تعداد فرزندان]]*حداقل_حقوق_پایه_روزانه)</f>
        <v/>
      </c>
      <c r="N283" s="46" t="str">
        <f>IF(ج_ح_آبان21[[#This Row],[کارکرد]]="","",ج_ح_آبان21[[#This Row],[کارکرد]]*حق_خواربار/30)</f>
        <v/>
      </c>
      <c r="O283" s="46" t="str">
        <f>IFERROR(ج_ح_آبان21[[#This Row],[حقوق پایه]]+ج_ح_آبان21[[#This Row],[اضافه کاری]]+ج_ح_آبان21[[#This Row],[حق مسکن]]+ج_ح_آبان21[[#This Row],[حق اولاد]]+ج_ح_آبان21[[#This Row],[حق و خواروبار]],"")</f>
        <v/>
      </c>
      <c r="P283"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83" s="46" t="str">
        <f>IFERROR(ج_ح_آبان21[[#This Row],[حقوق پایه]]+ج_ح_آبان21[[#This Row],[اضافه کاری]]-(2/7)*ج_ح_آبان21[[#This Row],[بیمه پرداختنی]],"")</f>
        <v/>
      </c>
      <c r="R283" s="45"/>
      <c r="S283" s="45"/>
      <c r="T283" s="46" t="str">
        <f>IFERROR(ج_ح_آبان21[[#This Row],[جمع ح و م م بیمه ]]*7%,"")</f>
        <v/>
      </c>
      <c r="U283"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83" s="46" t="str">
        <f>IFERROR(ج_ح_آبان21[[#This Row],[وام]]+ج_ح_آبان21[[#This Row],[مساعده]]+ج_ح_آبان21[[#This Row],[بیمه پرداختنی]]+ج_ح_آبان21[[#This Row],[مالیات پرداختنی]],"")</f>
        <v/>
      </c>
      <c r="W283" s="46" t="str">
        <f>IFERROR(ج_ح_آبان21[[#This Row],[جمع ح و م]]-ج_ح_آبان21[[#This Row],[جمع کسورات]],"")</f>
        <v/>
      </c>
    </row>
    <row r="284" spans="2:23" s="41" customFormat="1" ht="32.1" customHeight="1">
      <c r="B284" s="41">
        <f t="shared" si="6"/>
        <v>8</v>
      </c>
      <c r="C284" s="42" t="str">
        <f>IF(ج_ح_آبان21[[#This Row],[نام]]&lt;&gt;"",ROW()-266+1,"")</f>
        <v/>
      </c>
      <c r="D284" s="43"/>
      <c r="E284" s="43"/>
      <c r="F284" s="44"/>
      <c r="G284" s="45"/>
      <c r="H284" s="46" t="str">
        <f>IF(ج_ح_آبان21[[#This Row],[کارکرد]]*ج_ح_آبان21[[#This Row],[دستمزد روزانه ]]=0,"",ج_ح_آبان21[[#This Row],[کارکرد]]*ج_ح_آبان21[[#This Row],[دستمزد روزانه ]])</f>
        <v/>
      </c>
      <c r="I284" s="47"/>
      <c r="J284" s="48">
        <f>(ج_ح_آبان21[[#This Row],[دستمزد روزانه ]]/7.33)*1.4*ج_ح_آبان21[[#This Row],[مدت اضافه کاری ]]</f>
        <v>0</v>
      </c>
      <c r="K284" s="46" t="str">
        <f>IF(ج_ح_آبان21[[#This Row],[کارکرد]]="","",ج_ح_آبان21[[#This Row],[کارکرد]]*حق_مسکن/30)</f>
        <v/>
      </c>
      <c r="L284" s="49"/>
      <c r="M284" s="46" t="str">
        <f>IF(ج_ح_آبان21[[#This Row],[تعداد فرزندان]]="","",ج_ح_آبان21[[#This Row],[کارکرد]]/30*3*ج_ح_آبان21[[#This Row],[تعداد فرزندان]]*حداقل_حقوق_پایه_روزانه)</f>
        <v/>
      </c>
      <c r="N284" s="46" t="str">
        <f>IF(ج_ح_آبان21[[#This Row],[کارکرد]]="","",ج_ح_آبان21[[#This Row],[کارکرد]]*حق_خواربار/30)</f>
        <v/>
      </c>
      <c r="O284" s="46" t="str">
        <f>IFERROR(ج_ح_آبان21[[#This Row],[حقوق پایه]]+ج_ح_آبان21[[#This Row],[اضافه کاری]]+ج_ح_آبان21[[#This Row],[حق مسکن]]+ج_ح_آبان21[[#This Row],[حق اولاد]]+ج_ح_آبان21[[#This Row],[حق و خواروبار]],"")</f>
        <v/>
      </c>
      <c r="P284"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84" s="46" t="str">
        <f>IFERROR(ج_ح_آبان21[[#This Row],[حقوق پایه]]+ج_ح_آبان21[[#This Row],[اضافه کاری]]-(2/7)*ج_ح_آبان21[[#This Row],[بیمه پرداختنی]],"")</f>
        <v/>
      </c>
      <c r="R284" s="45"/>
      <c r="S284" s="45"/>
      <c r="T284" s="46" t="str">
        <f>IFERROR(ج_ح_آبان21[[#This Row],[جمع ح و م م بیمه ]]*7%,"")</f>
        <v/>
      </c>
      <c r="U284"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84" s="46" t="str">
        <f>IFERROR(ج_ح_آبان21[[#This Row],[وام]]+ج_ح_آبان21[[#This Row],[مساعده]]+ج_ح_آبان21[[#This Row],[بیمه پرداختنی]]+ج_ح_آبان21[[#This Row],[مالیات پرداختنی]],"")</f>
        <v/>
      </c>
      <c r="W284" s="46" t="str">
        <f>IFERROR(ج_ح_آبان21[[#This Row],[جمع ح و م]]-ج_ح_آبان21[[#This Row],[جمع کسورات]],"")</f>
        <v/>
      </c>
    </row>
    <row r="285" spans="2:23" s="41" customFormat="1" ht="32.1" customHeight="1">
      <c r="B285" s="41">
        <f t="shared" si="6"/>
        <v>8</v>
      </c>
      <c r="C285" s="42" t="str">
        <f>IF(ج_ح_آبان21[[#This Row],[نام]]&lt;&gt;"",ROW()-266+1,"")</f>
        <v/>
      </c>
      <c r="D285" s="43"/>
      <c r="E285" s="43"/>
      <c r="F285" s="44"/>
      <c r="G285" s="45"/>
      <c r="H285" s="46" t="str">
        <f>IF(ج_ح_آبان21[[#This Row],[کارکرد]]*ج_ح_آبان21[[#This Row],[دستمزد روزانه ]]=0,"",ج_ح_آبان21[[#This Row],[کارکرد]]*ج_ح_آبان21[[#This Row],[دستمزد روزانه ]])</f>
        <v/>
      </c>
      <c r="I285" s="47"/>
      <c r="J285" s="48">
        <f>(ج_ح_آبان21[[#This Row],[دستمزد روزانه ]]/7.33)*1.4*ج_ح_آبان21[[#This Row],[مدت اضافه کاری ]]</f>
        <v>0</v>
      </c>
      <c r="K285" s="46" t="str">
        <f>IF(ج_ح_آبان21[[#This Row],[کارکرد]]="","",ج_ح_آبان21[[#This Row],[کارکرد]]*حق_مسکن/30)</f>
        <v/>
      </c>
      <c r="L285" s="49"/>
      <c r="M285" s="46" t="str">
        <f>IF(ج_ح_آبان21[[#This Row],[تعداد فرزندان]]="","",ج_ح_آبان21[[#This Row],[کارکرد]]/30*3*ج_ح_آبان21[[#This Row],[تعداد فرزندان]]*حداقل_حقوق_پایه_روزانه)</f>
        <v/>
      </c>
      <c r="N285" s="46" t="str">
        <f>IF(ج_ح_آبان21[[#This Row],[کارکرد]]="","",ج_ح_آبان21[[#This Row],[کارکرد]]*حق_خواربار/30)</f>
        <v/>
      </c>
      <c r="O285" s="46" t="str">
        <f>IFERROR(ج_ح_آبان21[[#This Row],[حقوق پایه]]+ج_ح_آبان21[[#This Row],[اضافه کاری]]+ج_ح_آبان21[[#This Row],[حق مسکن]]+ج_ح_آبان21[[#This Row],[حق اولاد]]+ج_ح_آبان21[[#This Row],[حق و خواروبار]],"")</f>
        <v/>
      </c>
      <c r="P285"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85" s="46" t="str">
        <f>IFERROR(ج_ح_آبان21[[#This Row],[حقوق پایه]]+ج_ح_آبان21[[#This Row],[اضافه کاری]]-(2/7)*ج_ح_آبان21[[#This Row],[بیمه پرداختنی]],"")</f>
        <v/>
      </c>
      <c r="R285" s="45"/>
      <c r="S285" s="45"/>
      <c r="T285" s="46" t="str">
        <f>IFERROR(ج_ح_آبان21[[#This Row],[جمع ح و م م بیمه ]]*7%,"")</f>
        <v/>
      </c>
      <c r="U285"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85" s="46" t="str">
        <f>IFERROR(ج_ح_آبان21[[#This Row],[وام]]+ج_ح_آبان21[[#This Row],[مساعده]]+ج_ح_آبان21[[#This Row],[بیمه پرداختنی]]+ج_ح_آبان21[[#This Row],[مالیات پرداختنی]],"")</f>
        <v/>
      </c>
      <c r="W285" s="46" t="str">
        <f>IFERROR(ج_ح_آبان21[[#This Row],[جمع ح و م]]-ج_ح_آبان21[[#This Row],[جمع کسورات]],"")</f>
        <v/>
      </c>
    </row>
    <row r="286" spans="2:23" s="41" customFormat="1" ht="32.1" customHeight="1">
      <c r="B286" s="41">
        <f t="shared" si="6"/>
        <v>8</v>
      </c>
      <c r="C286" s="42" t="str">
        <f>IF(ج_ح_آبان21[[#This Row],[نام]]&lt;&gt;"",ROW()-266+1,"")</f>
        <v/>
      </c>
      <c r="D286" s="43"/>
      <c r="E286" s="43"/>
      <c r="F286" s="44"/>
      <c r="G286" s="45"/>
      <c r="H286" s="46" t="str">
        <f>IF(ج_ح_آبان21[[#This Row],[کارکرد]]*ج_ح_آبان21[[#This Row],[دستمزد روزانه ]]=0,"",ج_ح_آبان21[[#This Row],[کارکرد]]*ج_ح_آبان21[[#This Row],[دستمزد روزانه ]])</f>
        <v/>
      </c>
      <c r="I286" s="47"/>
      <c r="J286" s="48">
        <f>(ج_ح_آبان21[[#This Row],[دستمزد روزانه ]]/7.33)*1.4*ج_ح_آبان21[[#This Row],[مدت اضافه کاری ]]</f>
        <v>0</v>
      </c>
      <c r="K286" s="46" t="str">
        <f>IF(ج_ح_آبان21[[#This Row],[کارکرد]]="","",ج_ح_آبان21[[#This Row],[کارکرد]]*حق_مسکن/30)</f>
        <v/>
      </c>
      <c r="L286" s="49"/>
      <c r="M286" s="46" t="str">
        <f>IF(ج_ح_آبان21[[#This Row],[تعداد فرزندان]]="","",ج_ح_آبان21[[#This Row],[کارکرد]]/30*3*ج_ح_آبان21[[#This Row],[تعداد فرزندان]]*حداقل_حقوق_پایه_روزانه)</f>
        <v/>
      </c>
      <c r="N286" s="46" t="str">
        <f>IF(ج_ح_آبان21[[#This Row],[کارکرد]]="","",ج_ح_آبان21[[#This Row],[کارکرد]]*حق_خواربار/30)</f>
        <v/>
      </c>
      <c r="O286" s="46" t="str">
        <f>IFERROR(ج_ح_آبان21[[#This Row],[حقوق پایه]]+ج_ح_آبان21[[#This Row],[اضافه کاری]]+ج_ح_آبان21[[#This Row],[حق مسکن]]+ج_ح_آبان21[[#This Row],[حق اولاد]]+ج_ح_آبان21[[#This Row],[حق و خواروبار]],"")</f>
        <v/>
      </c>
      <c r="P286"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86" s="46" t="str">
        <f>IFERROR(ج_ح_آبان21[[#This Row],[حقوق پایه]]+ج_ح_آبان21[[#This Row],[اضافه کاری]]-(2/7)*ج_ح_آبان21[[#This Row],[بیمه پرداختنی]],"")</f>
        <v/>
      </c>
      <c r="R286" s="45"/>
      <c r="S286" s="45"/>
      <c r="T286" s="46" t="str">
        <f>IFERROR(ج_ح_آبان21[[#This Row],[جمع ح و م م بیمه ]]*7%,"")</f>
        <v/>
      </c>
      <c r="U286"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86" s="46" t="str">
        <f>IFERROR(ج_ح_آبان21[[#This Row],[وام]]+ج_ح_آبان21[[#This Row],[مساعده]]+ج_ح_آبان21[[#This Row],[بیمه پرداختنی]]+ج_ح_آبان21[[#This Row],[مالیات پرداختنی]],"")</f>
        <v/>
      </c>
      <c r="W286" s="46" t="str">
        <f>IFERROR(ج_ح_آبان21[[#This Row],[جمع ح و م]]-ج_ح_آبان21[[#This Row],[جمع کسورات]],"")</f>
        <v/>
      </c>
    </row>
    <row r="287" spans="2:23" s="41" customFormat="1" ht="32.1" customHeight="1">
      <c r="B287" s="41">
        <f t="shared" si="6"/>
        <v>8</v>
      </c>
      <c r="C287" s="42" t="str">
        <f>IF(ج_ح_آبان21[[#This Row],[نام]]&lt;&gt;"",ROW()-266+1,"")</f>
        <v/>
      </c>
      <c r="D287" s="43"/>
      <c r="E287" s="43"/>
      <c r="F287" s="44"/>
      <c r="G287" s="45"/>
      <c r="H287" s="46" t="str">
        <f>IF(ج_ح_آبان21[[#This Row],[کارکرد]]*ج_ح_آبان21[[#This Row],[دستمزد روزانه ]]=0,"",ج_ح_آبان21[[#This Row],[کارکرد]]*ج_ح_آبان21[[#This Row],[دستمزد روزانه ]])</f>
        <v/>
      </c>
      <c r="I287" s="47"/>
      <c r="J287" s="48">
        <f>(ج_ح_آبان21[[#This Row],[دستمزد روزانه ]]/7.33)*1.4*ج_ح_آبان21[[#This Row],[مدت اضافه کاری ]]</f>
        <v>0</v>
      </c>
      <c r="K287" s="46" t="str">
        <f>IF(ج_ح_آبان21[[#This Row],[کارکرد]]="","",ج_ح_آبان21[[#This Row],[کارکرد]]*حق_مسکن/30)</f>
        <v/>
      </c>
      <c r="L287" s="49"/>
      <c r="M287" s="46" t="str">
        <f>IF(ج_ح_آبان21[[#This Row],[تعداد فرزندان]]="","",ج_ح_آبان21[[#This Row],[کارکرد]]/30*3*ج_ح_آبان21[[#This Row],[تعداد فرزندان]]*حداقل_حقوق_پایه_روزانه)</f>
        <v/>
      </c>
      <c r="N287" s="46" t="str">
        <f>IF(ج_ح_آبان21[[#This Row],[کارکرد]]="","",ج_ح_آبان21[[#This Row],[کارکرد]]*حق_خواربار/30)</f>
        <v/>
      </c>
      <c r="O287" s="46" t="str">
        <f>IFERROR(ج_ح_آبان21[[#This Row],[حقوق پایه]]+ج_ح_آبان21[[#This Row],[اضافه کاری]]+ج_ح_آبان21[[#This Row],[حق مسکن]]+ج_ح_آبان21[[#This Row],[حق اولاد]]+ج_ح_آبان21[[#This Row],[حق و خواروبار]],"")</f>
        <v/>
      </c>
      <c r="P287"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87" s="46" t="str">
        <f>IFERROR(ج_ح_آبان21[[#This Row],[حقوق پایه]]+ج_ح_آبان21[[#This Row],[اضافه کاری]]-(2/7)*ج_ح_آبان21[[#This Row],[بیمه پرداختنی]],"")</f>
        <v/>
      </c>
      <c r="R287" s="45"/>
      <c r="S287" s="45"/>
      <c r="T287" s="46" t="str">
        <f>IFERROR(ج_ح_آبان21[[#This Row],[جمع ح و م م بیمه ]]*7%,"")</f>
        <v/>
      </c>
      <c r="U287"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87" s="46" t="str">
        <f>IFERROR(ج_ح_آبان21[[#This Row],[وام]]+ج_ح_آبان21[[#This Row],[مساعده]]+ج_ح_آبان21[[#This Row],[بیمه پرداختنی]]+ج_ح_آبان21[[#This Row],[مالیات پرداختنی]],"")</f>
        <v/>
      </c>
      <c r="W287" s="46" t="str">
        <f>IFERROR(ج_ح_آبان21[[#This Row],[جمع ح و م]]-ج_ح_آبان21[[#This Row],[جمع کسورات]],"")</f>
        <v/>
      </c>
    </row>
    <row r="288" spans="2:23" s="41" customFormat="1" ht="32.1" customHeight="1">
      <c r="B288" s="41">
        <f t="shared" si="6"/>
        <v>8</v>
      </c>
      <c r="C288" s="42" t="str">
        <f>IF(ج_ح_آبان21[[#This Row],[نام]]&lt;&gt;"",ROW()-266+1,"")</f>
        <v/>
      </c>
      <c r="D288" s="43"/>
      <c r="E288" s="43"/>
      <c r="F288" s="44"/>
      <c r="G288" s="45"/>
      <c r="H288" s="46" t="str">
        <f>IF(ج_ح_آبان21[[#This Row],[کارکرد]]*ج_ح_آبان21[[#This Row],[دستمزد روزانه ]]=0,"",ج_ح_آبان21[[#This Row],[کارکرد]]*ج_ح_آبان21[[#This Row],[دستمزد روزانه ]])</f>
        <v/>
      </c>
      <c r="I288" s="47"/>
      <c r="J288" s="48">
        <f>(ج_ح_آبان21[[#This Row],[دستمزد روزانه ]]/7.33)*1.4*ج_ح_آبان21[[#This Row],[مدت اضافه کاری ]]</f>
        <v>0</v>
      </c>
      <c r="K288" s="46" t="str">
        <f>IF(ج_ح_آبان21[[#This Row],[کارکرد]]="","",ج_ح_آبان21[[#This Row],[کارکرد]]*حق_مسکن/30)</f>
        <v/>
      </c>
      <c r="L288" s="49"/>
      <c r="M288" s="46" t="str">
        <f>IF(ج_ح_آبان21[[#This Row],[تعداد فرزندان]]="","",ج_ح_آبان21[[#This Row],[کارکرد]]/30*3*ج_ح_آبان21[[#This Row],[تعداد فرزندان]]*حداقل_حقوق_پایه_روزانه)</f>
        <v/>
      </c>
      <c r="N288" s="46" t="str">
        <f>IF(ج_ح_آبان21[[#This Row],[کارکرد]]="","",ج_ح_آبان21[[#This Row],[کارکرد]]*حق_خواربار/30)</f>
        <v/>
      </c>
      <c r="O288" s="46" t="str">
        <f>IFERROR(ج_ح_آبان21[[#This Row],[حقوق پایه]]+ج_ح_آبان21[[#This Row],[اضافه کاری]]+ج_ح_آبان21[[#This Row],[حق مسکن]]+ج_ح_آبان21[[#This Row],[حق اولاد]]+ج_ح_آبان21[[#This Row],[حق و خواروبار]],"")</f>
        <v/>
      </c>
      <c r="P288"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88" s="46" t="str">
        <f>IFERROR(ج_ح_آبان21[[#This Row],[حقوق پایه]]+ج_ح_آبان21[[#This Row],[اضافه کاری]]-(2/7)*ج_ح_آبان21[[#This Row],[بیمه پرداختنی]],"")</f>
        <v/>
      </c>
      <c r="R288" s="45"/>
      <c r="S288" s="45"/>
      <c r="T288" s="46" t="str">
        <f>IFERROR(ج_ح_آبان21[[#This Row],[جمع ح و م م بیمه ]]*7%,"")</f>
        <v/>
      </c>
      <c r="U288"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88" s="46" t="str">
        <f>IFERROR(ج_ح_آبان21[[#This Row],[وام]]+ج_ح_آبان21[[#This Row],[مساعده]]+ج_ح_آبان21[[#This Row],[بیمه پرداختنی]]+ج_ح_آبان21[[#This Row],[مالیات پرداختنی]],"")</f>
        <v/>
      </c>
      <c r="W288" s="46" t="str">
        <f>IFERROR(ج_ح_آبان21[[#This Row],[جمع ح و م]]-ج_ح_آبان21[[#This Row],[جمع کسورات]],"")</f>
        <v/>
      </c>
    </row>
    <row r="289" spans="1:23" s="41" customFormat="1" ht="32.1" customHeight="1">
      <c r="B289" s="41">
        <f t="shared" si="6"/>
        <v>8</v>
      </c>
      <c r="C289" s="42" t="str">
        <f>IF(ج_ح_آبان21[[#This Row],[نام]]&lt;&gt;"",ROW()-266+1,"")</f>
        <v/>
      </c>
      <c r="D289" s="43"/>
      <c r="E289" s="43"/>
      <c r="F289" s="44"/>
      <c r="G289" s="45"/>
      <c r="H289" s="46" t="str">
        <f>IF(ج_ح_آبان21[[#This Row],[کارکرد]]*ج_ح_آبان21[[#This Row],[دستمزد روزانه ]]=0,"",ج_ح_آبان21[[#This Row],[کارکرد]]*ج_ح_آبان21[[#This Row],[دستمزد روزانه ]])</f>
        <v/>
      </c>
      <c r="I289" s="47"/>
      <c r="J289" s="48">
        <f>(ج_ح_آبان21[[#This Row],[دستمزد روزانه ]]/7.33)*1.4*ج_ح_آبان21[[#This Row],[مدت اضافه کاری ]]</f>
        <v>0</v>
      </c>
      <c r="K289" s="46" t="str">
        <f>IF(ج_ح_آبان21[[#This Row],[کارکرد]]="","",ج_ح_آبان21[[#This Row],[کارکرد]]*حق_مسکن/30)</f>
        <v/>
      </c>
      <c r="L289" s="49"/>
      <c r="M289" s="46" t="str">
        <f>IF(ج_ح_آبان21[[#This Row],[تعداد فرزندان]]="","",ج_ح_آبان21[[#This Row],[کارکرد]]/30*3*ج_ح_آبان21[[#This Row],[تعداد فرزندان]]*حداقل_حقوق_پایه_روزانه)</f>
        <v/>
      </c>
      <c r="N289" s="46" t="str">
        <f>IF(ج_ح_آبان21[[#This Row],[کارکرد]]="","",ج_ح_آبان21[[#This Row],[کارکرد]]*حق_خواربار/30)</f>
        <v/>
      </c>
      <c r="O289" s="46" t="str">
        <f>IFERROR(ج_ح_آبان21[[#This Row],[حقوق پایه]]+ج_ح_آبان21[[#This Row],[اضافه کاری]]+ج_ح_آبان21[[#This Row],[حق مسکن]]+ج_ح_آبان21[[#This Row],[حق اولاد]]+ج_ح_آبان21[[#This Row],[حق و خواروبار]],"")</f>
        <v/>
      </c>
      <c r="P289"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89" s="46" t="str">
        <f>IFERROR(ج_ح_آبان21[[#This Row],[حقوق پایه]]+ج_ح_آبان21[[#This Row],[اضافه کاری]]-(2/7)*ج_ح_آبان21[[#This Row],[بیمه پرداختنی]],"")</f>
        <v/>
      </c>
      <c r="R289" s="45"/>
      <c r="S289" s="45"/>
      <c r="T289" s="46" t="str">
        <f>IFERROR(ج_ح_آبان21[[#This Row],[جمع ح و م م بیمه ]]*7%,"")</f>
        <v/>
      </c>
      <c r="U289"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89" s="46" t="str">
        <f>IFERROR(ج_ح_آبان21[[#This Row],[وام]]+ج_ح_آبان21[[#This Row],[مساعده]]+ج_ح_آبان21[[#This Row],[بیمه پرداختنی]]+ج_ح_آبان21[[#This Row],[مالیات پرداختنی]],"")</f>
        <v/>
      </c>
      <c r="W289" s="46" t="str">
        <f>IFERROR(ج_ح_آبان21[[#This Row],[جمع ح و م]]-ج_ح_آبان21[[#This Row],[جمع کسورات]],"")</f>
        <v/>
      </c>
    </row>
    <row r="290" spans="1:23" s="41" customFormat="1" ht="32.1" customHeight="1">
      <c r="B290" s="41">
        <f t="shared" si="6"/>
        <v>8</v>
      </c>
      <c r="C290" s="42" t="str">
        <f>IF(ج_ح_آبان21[[#This Row],[نام]]&lt;&gt;"",ROW()-266+1,"")</f>
        <v/>
      </c>
      <c r="D290" s="43"/>
      <c r="E290" s="43"/>
      <c r="F290" s="44"/>
      <c r="G290" s="45"/>
      <c r="H290" s="46" t="str">
        <f>IF(ج_ح_آبان21[[#This Row],[کارکرد]]*ج_ح_آبان21[[#This Row],[دستمزد روزانه ]]=0,"",ج_ح_آبان21[[#This Row],[کارکرد]]*ج_ح_آبان21[[#This Row],[دستمزد روزانه ]])</f>
        <v/>
      </c>
      <c r="I290" s="47"/>
      <c r="J290" s="48">
        <f>(ج_ح_آبان21[[#This Row],[دستمزد روزانه ]]/7.33)*1.4*ج_ح_آبان21[[#This Row],[مدت اضافه کاری ]]</f>
        <v>0</v>
      </c>
      <c r="K290" s="46" t="str">
        <f>IF(ج_ح_آبان21[[#This Row],[کارکرد]]="","",ج_ح_آبان21[[#This Row],[کارکرد]]*حق_مسکن/30)</f>
        <v/>
      </c>
      <c r="L290" s="49"/>
      <c r="M290" s="46" t="str">
        <f>IF(ج_ح_آبان21[[#This Row],[تعداد فرزندان]]="","",ج_ح_آبان21[[#This Row],[کارکرد]]/30*3*ج_ح_آبان21[[#This Row],[تعداد فرزندان]]*حداقل_حقوق_پایه_روزانه)</f>
        <v/>
      </c>
      <c r="N290" s="46" t="str">
        <f>IF(ج_ح_آبان21[[#This Row],[کارکرد]]="","",ج_ح_آبان21[[#This Row],[کارکرد]]*حق_خواربار/30)</f>
        <v/>
      </c>
      <c r="O290" s="46" t="str">
        <f>IFERROR(ج_ح_آبان21[[#This Row],[حقوق پایه]]+ج_ح_آبان21[[#This Row],[اضافه کاری]]+ج_ح_آبان21[[#This Row],[حق مسکن]]+ج_ح_آبان21[[#This Row],[حق اولاد]]+ج_ح_آبان21[[#This Row],[حق و خواروبار]],"")</f>
        <v/>
      </c>
      <c r="P290"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90" s="46" t="str">
        <f>IFERROR(ج_ح_آبان21[[#This Row],[حقوق پایه]]+ج_ح_آبان21[[#This Row],[اضافه کاری]]-(2/7)*ج_ح_آبان21[[#This Row],[بیمه پرداختنی]],"")</f>
        <v/>
      </c>
      <c r="R290" s="45"/>
      <c r="S290" s="45"/>
      <c r="T290" s="46" t="str">
        <f>IFERROR(ج_ح_آبان21[[#This Row],[جمع ح و م م بیمه ]]*7%,"")</f>
        <v/>
      </c>
      <c r="U290"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90" s="46" t="str">
        <f>IFERROR(ج_ح_آبان21[[#This Row],[وام]]+ج_ح_آبان21[[#This Row],[مساعده]]+ج_ح_آبان21[[#This Row],[بیمه پرداختنی]]+ج_ح_آبان21[[#This Row],[مالیات پرداختنی]],"")</f>
        <v/>
      </c>
      <c r="W290" s="46" t="str">
        <f>IFERROR(ج_ح_آبان21[[#This Row],[جمع ح و م]]-ج_ح_آبان21[[#This Row],[جمع کسورات]],"")</f>
        <v/>
      </c>
    </row>
    <row r="291" spans="1:23" s="41" customFormat="1" ht="32.1" customHeight="1">
      <c r="B291" s="41">
        <f t="shared" si="6"/>
        <v>8</v>
      </c>
      <c r="C291" s="42" t="str">
        <f>IF(ج_ح_آبان21[[#This Row],[نام]]&lt;&gt;"",ROW()-266+1,"")</f>
        <v/>
      </c>
      <c r="D291" s="43"/>
      <c r="E291" s="43"/>
      <c r="F291" s="44"/>
      <c r="G291" s="45"/>
      <c r="H291" s="46" t="str">
        <f>IF(ج_ح_آبان21[[#This Row],[کارکرد]]*ج_ح_آبان21[[#This Row],[دستمزد روزانه ]]=0,"",ج_ح_آبان21[[#This Row],[کارکرد]]*ج_ح_آبان21[[#This Row],[دستمزد روزانه ]])</f>
        <v/>
      </c>
      <c r="I291" s="47"/>
      <c r="J291" s="48">
        <f>(ج_ح_آبان21[[#This Row],[دستمزد روزانه ]]/7.33)*1.4*ج_ح_آبان21[[#This Row],[مدت اضافه کاری ]]</f>
        <v>0</v>
      </c>
      <c r="K291" s="46" t="str">
        <f>IF(ج_ح_آبان21[[#This Row],[کارکرد]]="","",ج_ح_آبان21[[#This Row],[کارکرد]]*حق_مسکن/30)</f>
        <v/>
      </c>
      <c r="L291" s="49"/>
      <c r="M291" s="46" t="str">
        <f>IF(ج_ح_آبان21[[#This Row],[تعداد فرزندان]]="","",ج_ح_آبان21[[#This Row],[کارکرد]]/30*3*ج_ح_آبان21[[#This Row],[تعداد فرزندان]]*حداقل_حقوق_پایه_روزانه)</f>
        <v/>
      </c>
      <c r="N291" s="46" t="str">
        <f>IF(ج_ح_آبان21[[#This Row],[کارکرد]]="","",ج_ح_آبان21[[#This Row],[کارکرد]]*حق_خواربار/30)</f>
        <v/>
      </c>
      <c r="O291" s="46" t="str">
        <f>IFERROR(ج_ح_آبان21[[#This Row],[حقوق پایه]]+ج_ح_آبان21[[#This Row],[اضافه کاری]]+ج_ح_آبان21[[#This Row],[حق مسکن]]+ج_ح_آبان21[[#This Row],[حق اولاد]]+ج_ح_آبان21[[#This Row],[حق و خواروبار]],"")</f>
        <v/>
      </c>
      <c r="P291"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91" s="46" t="str">
        <f>IFERROR(ج_ح_آبان21[[#This Row],[حقوق پایه]]+ج_ح_آبان21[[#This Row],[اضافه کاری]]-(2/7)*ج_ح_آبان21[[#This Row],[بیمه پرداختنی]],"")</f>
        <v/>
      </c>
      <c r="R291" s="45"/>
      <c r="S291" s="45"/>
      <c r="T291" s="46" t="str">
        <f>IFERROR(ج_ح_آبان21[[#This Row],[جمع ح و م م بیمه ]]*7%,"")</f>
        <v/>
      </c>
      <c r="U291"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91" s="46" t="str">
        <f>IFERROR(ج_ح_آبان21[[#This Row],[وام]]+ج_ح_آبان21[[#This Row],[مساعده]]+ج_ح_آبان21[[#This Row],[بیمه پرداختنی]]+ج_ح_آبان21[[#This Row],[مالیات پرداختنی]],"")</f>
        <v/>
      </c>
      <c r="W291" s="46" t="str">
        <f>IFERROR(ج_ح_آبان21[[#This Row],[جمع ح و م]]-ج_ح_آبان21[[#This Row],[جمع کسورات]],"")</f>
        <v/>
      </c>
    </row>
    <row r="292" spans="1:23" s="41" customFormat="1" ht="32.1" customHeight="1">
      <c r="B292" s="41">
        <f t="shared" si="6"/>
        <v>8</v>
      </c>
      <c r="C292" s="42" t="str">
        <f>IF(ج_ح_آبان21[[#This Row],[نام]]&lt;&gt;"",ROW()-266+1,"")</f>
        <v/>
      </c>
      <c r="D292" s="43"/>
      <c r="E292" s="43"/>
      <c r="F292" s="44"/>
      <c r="G292" s="45"/>
      <c r="H292" s="46" t="str">
        <f>IF(ج_ح_آبان21[[#This Row],[کارکرد]]*ج_ح_آبان21[[#This Row],[دستمزد روزانه ]]=0,"",ج_ح_آبان21[[#This Row],[کارکرد]]*ج_ح_آبان21[[#This Row],[دستمزد روزانه ]])</f>
        <v/>
      </c>
      <c r="I292" s="47"/>
      <c r="J292" s="48">
        <f>(ج_ح_آبان21[[#This Row],[دستمزد روزانه ]]/7.33)*1.4*ج_ح_آبان21[[#This Row],[مدت اضافه کاری ]]</f>
        <v>0</v>
      </c>
      <c r="K292" s="46" t="str">
        <f>IF(ج_ح_آبان21[[#This Row],[کارکرد]]="","",ج_ح_آبان21[[#This Row],[کارکرد]]*حق_مسکن/30)</f>
        <v/>
      </c>
      <c r="L292" s="49"/>
      <c r="M292" s="46" t="str">
        <f>IF(ج_ح_آبان21[[#This Row],[تعداد فرزندان]]="","",ج_ح_آبان21[[#This Row],[کارکرد]]/30*3*ج_ح_آبان21[[#This Row],[تعداد فرزندان]]*حداقل_حقوق_پایه_روزانه)</f>
        <v/>
      </c>
      <c r="N292" s="46" t="str">
        <f>IF(ج_ح_آبان21[[#This Row],[کارکرد]]="","",ج_ح_آبان21[[#This Row],[کارکرد]]*حق_خواربار/30)</f>
        <v/>
      </c>
      <c r="O292" s="46" t="str">
        <f>IFERROR(ج_ح_آبان21[[#This Row],[حقوق پایه]]+ج_ح_آبان21[[#This Row],[اضافه کاری]]+ج_ح_آبان21[[#This Row],[حق مسکن]]+ج_ح_آبان21[[#This Row],[حق اولاد]]+ج_ح_آبان21[[#This Row],[حق و خواروبار]],"")</f>
        <v/>
      </c>
      <c r="P292"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92" s="46" t="str">
        <f>IFERROR(ج_ح_آبان21[[#This Row],[حقوق پایه]]+ج_ح_آبان21[[#This Row],[اضافه کاری]]-(2/7)*ج_ح_آبان21[[#This Row],[بیمه پرداختنی]],"")</f>
        <v/>
      </c>
      <c r="R292" s="45"/>
      <c r="S292" s="45"/>
      <c r="T292" s="46" t="str">
        <f>IFERROR(ج_ح_آبان21[[#This Row],[جمع ح و م م بیمه ]]*7%,"")</f>
        <v/>
      </c>
      <c r="U292"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92" s="46" t="str">
        <f>IFERROR(ج_ح_آبان21[[#This Row],[وام]]+ج_ح_آبان21[[#This Row],[مساعده]]+ج_ح_آبان21[[#This Row],[بیمه پرداختنی]]+ج_ح_آبان21[[#This Row],[مالیات پرداختنی]],"")</f>
        <v/>
      </c>
      <c r="W292" s="46" t="str">
        <f>IFERROR(ج_ح_آبان21[[#This Row],[جمع ح و م]]-ج_ح_آبان21[[#This Row],[جمع کسورات]],"")</f>
        <v/>
      </c>
    </row>
    <row r="293" spans="1:23" s="41" customFormat="1" ht="32.1" customHeight="1">
      <c r="B293" s="41">
        <f t="shared" si="6"/>
        <v>8</v>
      </c>
      <c r="C293" s="42" t="str">
        <f>IF(ج_ح_آبان21[[#This Row],[نام]]&lt;&gt;"",ROW()-266+1,"")</f>
        <v/>
      </c>
      <c r="D293" s="43"/>
      <c r="E293" s="43"/>
      <c r="F293" s="44"/>
      <c r="G293" s="45"/>
      <c r="H293" s="46" t="str">
        <f>IF(ج_ح_آبان21[[#This Row],[کارکرد]]*ج_ح_آبان21[[#This Row],[دستمزد روزانه ]]=0,"",ج_ح_آبان21[[#This Row],[کارکرد]]*ج_ح_آبان21[[#This Row],[دستمزد روزانه ]])</f>
        <v/>
      </c>
      <c r="I293" s="47"/>
      <c r="J293" s="48">
        <f>(ج_ح_آبان21[[#This Row],[دستمزد روزانه ]]/7.33)*1.4*ج_ح_آبان21[[#This Row],[مدت اضافه کاری ]]</f>
        <v>0</v>
      </c>
      <c r="K293" s="46" t="str">
        <f>IF(ج_ح_آبان21[[#This Row],[کارکرد]]="","",ج_ح_آبان21[[#This Row],[کارکرد]]*حق_مسکن/30)</f>
        <v/>
      </c>
      <c r="L293" s="49"/>
      <c r="M293" s="46" t="str">
        <f>IF(ج_ح_آبان21[[#This Row],[تعداد فرزندان]]="","",ج_ح_آبان21[[#This Row],[کارکرد]]/30*3*ج_ح_آبان21[[#This Row],[تعداد فرزندان]]*حداقل_حقوق_پایه_روزانه)</f>
        <v/>
      </c>
      <c r="N293" s="46" t="str">
        <f>IF(ج_ح_آبان21[[#This Row],[کارکرد]]="","",ج_ح_آبان21[[#This Row],[کارکرد]]*حق_خواربار/30)</f>
        <v/>
      </c>
      <c r="O293" s="46" t="str">
        <f>IFERROR(ج_ح_آبان21[[#This Row],[حقوق پایه]]+ج_ح_آبان21[[#This Row],[اضافه کاری]]+ج_ح_آبان21[[#This Row],[حق مسکن]]+ج_ح_آبان21[[#This Row],[حق اولاد]]+ج_ح_آبان21[[#This Row],[حق و خواروبار]],"")</f>
        <v/>
      </c>
      <c r="P293"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93" s="46" t="str">
        <f>IFERROR(ج_ح_آبان21[[#This Row],[حقوق پایه]]+ج_ح_آبان21[[#This Row],[اضافه کاری]]-(2/7)*ج_ح_آبان21[[#This Row],[بیمه پرداختنی]],"")</f>
        <v/>
      </c>
      <c r="R293" s="45"/>
      <c r="S293" s="45"/>
      <c r="T293" s="46" t="str">
        <f>IFERROR(ج_ح_آبان21[[#This Row],[جمع ح و م م بیمه ]]*7%,"")</f>
        <v/>
      </c>
      <c r="U293"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93" s="46" t="str">
        <f>IFERROR(ج_ح_آبان21[[#This Row],[وام]]+ج_ح_آبان21[[#This Row],[مساعده]]+ج_ح_آبان21[[#This Row],[بیمه پرداختنی]]+ج_ح_آبان21[[#This Row],[مالیات پرداختنی]],"")</f>
        <v/>
      </c>
      <c r="W293" s="46" t="str">
        <f>IFERROR(ج_ح_آبان21[[#This Row],[جمع ح و م]]-ج_ح_آبان21[[#This Row],[جمع کسورات]],"")</f>
        <v/>
      </c>
    </row>
    <row r="294" spans="1:23" s="41" customFormat="1" ht="32.1" customHeight="1">
      <c r="B294" s="41">
        <f t="shared" si="6"/>
        <v>8</v>
      </c>
      <c r="C294" s="42" t="str">
        <f>IF(ج_ح_آبان21[[#This Row],[نام]]&lt;&gt;"",ROW()-266+1,"")</f>
        <v/>
      </c>
      <c r="D294" s="43"/>
      <c r="E294" s="43"/>
      <c r="F294" s="44"/>
      <c r="G294" s="45"/>
      <c r="H294" s="46" t="str">
        <f>IF(ج_ح_آبان21[[#This Row],[کارکرد]]*ج_ح_آبان21[[#This Row],[دستمزد روزانه ]]=0,"",ج_ح_آبان21[[#This Row],[کارکرد]]*ج_ح_آبان21[[#This Row],[دستمزد روزانه ]])</f>
        <v/>
      </c>
      <c r="I294" s="47"/>
      <c r="J294" s="48">
        <f>(ج_ح_آبان21[[#This Row],[دستمزد روزانه ]]/7.33)*1.4*ج_ح_آبان21[[#This Row],[مدت اضافه کاری ]]</f>
        <v>0</v>
      </c>
      <c r="K294" s="46" t="str">
        <f>IF(ج_ح_آبان21[[#This Row],[کارکرد]]="","",ج_ح_آبان21[[#This Row],[کارکرد]]*حق_مسکن/30)</f>
        <v/>
      </c>
      <c r="L294" s="49"/>
      <c r="M294" s="46" t="str">
        <f>IF(ج_ح_آبان21[[#This Row],[تعداد فرزندان]]="","",ج_ح_آبان21[[#This Row],[کارکرد]]/30*3*ج_ح_آبان21[[#This Row],[تعداد فرزندان]]*حداقل_حقوق_پایه_روزانه)</f>
        <v/>
      </c>
      <c r="N294" s="46" t="str">
        <f>IF(ج_ح_آبان21[[#This Row],[کارکرد]]="","",ج_ح_آبان21[[#This Row],[کارکرد]]*حق_خواربار/30)</f>
        <v/>
      </c>
      <c r="O294" s="46" t="str">
        <f>IFERROR(ج_ح_آبان21[[#This Row],[حقوق پایه]]+ج_ح_آبان21[[#This Row],[اضافه کاری]]+ج_ح_آبان21[[#This Row],[حق مسکن]]+ج_ح_آبان21[[#This Row],[حق اولاد]]+ج_ح_آبان21[[#This Row],[حق و خواروبار]],"")</f>
        <v/>
      </c>
      <c r="P294"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94" s="46" t="str">
        <f>IFERROR(ج_ح_آبان21[[#This Row],[حقوق پایه]]+ج_ح_آبان21[[#This Row],[اضافه کاری]]-(2/7)*ج_ح_آبان21[[#This Row],[بیمه پرداختنی]],"")</f>
        <v/>
      </c>
      <c r="R294" s="45"/>
      <c r="S294" s="45"/>
      <c r="T294" s="46" t="str">
        <f>IFERROR(ج_ح_آبان21[[#This Row],[جمع ح و م م بیمه ]]*7%,"")</f>
        <v/>
      </c>
      <c r="U294"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94" s="46" t="str">
        <f>IFERROR(ج_ح_آبان21[[#This Row],[وام]]+ج_ح_آبان21[[#This Row],[مساعده]]+ج_ح_آبان21[[#This Row],[بیمه پرداختنی]]+ج_ح_آبان21[[#This Row],[مالیات پرداختنی]],"")</f>
        <v/>
      </c>
      <c r="W294" s="46" t="str">
        <f>IFERROR(ج_ح_آبان21[[#This Row],[جمع ح و م]]-ج_ح_آبان21[[#This Row],[جمع کسورات]],"")</f>
        <v/>
      </c>
    </row>
    <row r="295" spans="1:23" s="41" customFormat="1" ht="32.1" customHeight="1">
      <c r="B295" s="41">
        <f t="shared" si="6"/>
        <v>8</v>
      </c>
      <c r="C295" s="42" t="str">
        <f>IF(ج_ح_آبان21[[#This Row],[نام]]&lt;&gt;"",ROW()-266+1,"")</f>
        <v/>
      </c>
      <c r="D295" s="43"/>
      <c r="E295" s="43"/>
      <c r="F295" s="44"/>
      <c r="G295" s="45"/>
      <c r="H295" s="46" t="str">
        <f>IF(ج_ح_آبان21[[#This Row],[کارکرد]]*ج_ح_آبان21[[#This Row],[دستمزد روزانه ]]=0,"",ج_ح_آبان21[[#This Row],[کارکرد]]*ج_ح_آبان21[[#This Row],[دستمزد روزانه ]])</f>
        <v/>
      </c>
      <c r="I295" s="47"/>
      <c r="J295" s="48">
        <f>(ج_ح_آبان21[[#This Row],[دستمزد روزانه ]]/7.33)*1.4*ج_ح_آبان21[[#This Row],[مدت اضافه کاری ]]</f>
        <v>0</v>
      </c>
      <c r="K295" s="46" t="str">
        <f>IF(ج_ح_آبان21[[#This Row],[کارکرد]]="","",ج_ح_آبان21[[#This Row],[کارکرد]]*حق_مسکن/30)</f>
        <v/>
      </c>
      <c r="L295" s="49"/>
      <c r="M295" s="46" t="str">
        <f>IF(ج_ح_آبان21[[#This Row],[تعداد فرزندان]]="","",ج_ح_آبان21[[#This Row],[کارکرد]]/30*3*ج_ح_آبان21[[#This Row],[تعداد فرزندان]]*حداقل_حقوق_پایه_روزانه)</f>
        <v/>
      </c>
      <c r="N295" s="46" t="str">
        <f>IF(ج_ح_آبان21[[#This Row],[کارکرد]]="","",ج_ح_آبان21[[#This Row],[کارکرد]]*حق_خواربار/30)</f>
        <v/>
      </c>
      <c r="O295" s="46" t="str">
        <f>IFERROR(ج_ح_آبان21[[#This Row],[حقوق پایه]]+ج_ح_آبان21[[#This Row],[اضافه کاری]]+ج_ح_آبان21[[#This Row],[حق مسکن]]+ج_ح_آبان21[[#This Row],[حق اولاد]]+ج_ح_آبان21[[#This Row],[حق و خواروبار]],"")</f>
        <v/>
      </c>
      <c r="P295" s="46" t="str">
        <f>IFERROR(IF(ج_ح_آبان21[[#This Row],[حقوق پایه]]+ج_ح_آبان21[[#This Row],[اضافه کاری]]+ج_ح_آبان21[[#This Row],[حق مسکن]]+ج_ح_آبان21[[#This Row],[حق و خواروبار]]&gt;حداکثر_حقوق_مشمول_بیمه_ماهانه,حداکثر_حقوق_مشمول_بیمه_ماهانه,ج_ح_آبان21[[#This Row],[حقوق پایه]]+ج_ح_آبان21[[#This Row],[اضافه کاری]]+ج_ح_آبان21[[#This Row],[حق مسکن]]+ج_ح_آبان21[[#This Row],[حق و خواروبار]]),"")</f>
        <v/>
      </c>
      <c r="Q295" s="46" t="str">
        <f>IFERROR(ج_ح_آبان21[[#This Row],[حقوق پایه]]+ج_ح_آبان21[[#This Row],[اضافه کاری]]-(2/7)*ج_ح_آبان21[[#This Row],[بیمه پرداختنی]],"")</f>
        <v/>
      </c>
      <c r="R295" s="45"/>
      <c r="S295" s="45"/>
      <c r="T295" s="46" t="str">
        <f>IFERROR(ج_ح_آبان21[[#This Row],[جمع ح و م م بیمه ]]*7%,"")</f>
        <v/>
      </c>
      <c r="U295" s="50" t="str">
        <f>IFERROR(IF(ج_ح_آبان21[[#This Row],[جمع ح و م م مالیات]]&gt;=320000000,(ج_ح_آبان21[[#This Row],[جمع ح و م م مالیات]]-320000000)*35%+61000000,
IF(ج_ح_آبان21[[#This Row],[جمع ح و م م مالیات]]&gt;=240000000,(ج_ح_آبان21[[#This Row],[جمع ح و م م مالیات]]-240000000)*30%+37000000,
IF(ج_ح_آبان21[[#This Row],[جمع ح و م م مالیات]]&gt;=180000000,(ج_ح_آبان21[[#This Row],[جمع ح و م م مالیات]]-180000000)*25%+22000000,
IF(ج_ح_آبان21[[#This Row],[جمع ح و م م مالیات]]&gt;=120000000,(ج_ح_آبان21[[#This Row],[جمع ح و م م مالیات]]-120000000)*20%+10000000,
IF(ج_ح_آبان21[[#This Row],[جمع ح و م م مالیات]]&gt;=80000000,(ج_ح_آبان21[[#This Row],[جمع ح و م م مالیات]]-80000000)*15%+4000000,
IF(ج_ح_آبان21[[#This Row],[جمع ح و م م مالیات]]&gt;=40000000,(ج_ح_آبان21[[#This Row],[جمع ح و م م مالیات]]-40000000)*10%,0)))))),"")</f>
        <v/>
      </c>
      <c r="V295" s="46" t="str">
        <f>IFERROR(ج_ح_آبان21[[#This Row],[وام]]+ج_ح_آبان21[[#This Row],[مساعده]]+ج_ح_آبان21[[#This Row],[بیمه پرداختنی]]+ج_ح_آبان21[[#This Row],[مالیات پرداختنی]],"")</f>
        <v/>
      </c>
      <c r="W295" s="46" t="str">
        <f>IFERROR(ج_ح_آبان21[[#This Row],[جمع ح و م]]-ج_ح_آبان21[[#This Row],[جمع کسورات]],"")</f>
        <v/>
      </c>
    </row>
    <row r="296" spans="1:23" ht="32.1" customHeight="1">
      <c r="B296" s="32">
        <f t="shared" si="6"/>
        <v>8</v>
      </c>
      <c r="C296" s="51"/>
      <c r="D296" s="52"/>
      <c r="E296" s="52" t="s">
        <v>124</v>
      </c>
      <c r="F296" s="53">
        <f>SUBTOTAL(109,ج_ح_آبان21[کارکرد])</f>
        <v>30</v>
      </c>
      <c r="G296" s="54">
        <f>SUBTOTAL(109,ج_ح_آبان21[[دستمزد روزانه ]])</f>
        <v>1000000</v>
      </c>
      <c r="H296" s="54">
        <f>SUBTOTAL(109,ج_ح_آبان21[حقوق پایه])</f>
        <v>30000000</v>
      </c>
      <c r="I296" s="55">
        <f>SUBTOTAL(109,ج_ح_آبان21[[مدت اضافه کاری ]])</f>
        <v>7.33</v>
      </c>
      <c r="J296" s="56">
        <f>SUBTOTAL(109,ج_ح_آبان21[اضافه کاری])</f>
        <v>1400000</v>
      </c>
      <c r="K296" s="54">
        <f>SUBTOTAL(109,ج_ح_آبان21[حق مسکن])</f>
        <v>0</v>
      </c>
      <c r="L296" s="57">
        <f>SUBTOTAL(109,ج_ح_آبان21[تعداد فرزندان])</f>
        <v>1</v>
      </c>
      <c r="M296" s="54">
        <f>SUBTOTAL(109,ج_ح_آبان21[حق اولاد])</f>
        <v>0</v>
      </c>
      <c r="N296" s="54">
        <f>SUBTOTAL(109,ج_ح_آبان21[حق و خواروبار])</f>
        <v>0</v>
      </c>
      <c r="O296" s="54">
        <f>SUBTOTAL(109,ج_ح_آبان21[جمع ح و م])</f>
        <v>31400000</v>
      </c>
      <c r="P296" s="54">
        <f>SUBTOTAL(109,ج_ح_آبان21[[جمع ح و م م بیمه ]])</f>
        <v>0</v>
      </c>
      <c r="Q296" s="54">
        <f>SUBTOTAL(109,ج_ح_آبان21[جمع ح و م م مالیات])</f>
        <v>0</v>
      </c>
      <c r="R296" s="54">
        <f>SUBTOTAL(109,ج_ح_آبان21[وام])</f>
        <v>0</v>
      </c>
      <c r="S296" s="54">
        <f>SUBTOTAL(109,ج_ح_آبان21[مساعده])</f>
        <v>0</v>
      </c>
      <c r="T296" s="54">
        <f>SUBTOTAL(109,ج_ح_آبان21[بیمه پرداختنی])</f>
        <v>0</v>
      </c>
      <c r="U296" s="54">
        <f>SUBTOTAL(109,ج_ح_آبان21[مالیات پرداختنی])</f>
        <v>0</v>
      </c>
      <c r="V296" s="54">
        <f>SUBTOTAL(109,ج_ح_آبان21[جمع کسورات])</f>
        <v>0</v>
      </c>
      <c r="W296" s="54">
        <f>SUBTOTAL(109,ج_ح_آبان21[خالص قابل پرداخت])</f>
        <v>0</v>
      </c>
    </row>
    <row r="297" spans="1:23" ht="8.1" customHeight="1"/>
    <row r="298" spans="1:23" s="33" customFormat="1" ht="39.950000000000003" customHeight="1">
      <c r="A298" s="34"/>
      <c r="B298" s="34"/>
      <c r="C298" s="105" t="s">
        <v>94</v>
      </c>
      <c r="D298" s="105"/>
      <c r="E298" s="105"/>
      <c r="F298" s="105"/>
      <c r="G298" s="105"/>
      <c r="H298" s="105"/>
      <c r="I298" s="105"/>
      <c r="J298" s="105"/>
      <c r="K298" s="105"/>
      <c r="L298" s="105"/>
      <c r="M298" s="105"/>
      <c r="N298" s="105"/>
      <c r="O298" s="105"/>
      <c r="P298" s="105"/>
      <c r="Q298" s="105"/>
      <c r="R298" s="105"/>
      <c r="S298" s="105"/>
      <c r="T298" s="105"/>
      <c r="U298" s="105"/>
      <c r="V298" s="105"/>
      <c r="W298" s="105"/>
    </row>
    <row r="299" spans="1:23" s="33" customFormat="1" ht="50.1" customHeight="1">
      <c r="C299" s="106" t="s">
        <v>133</v>
      </c>
      <c r="D299" s="106"/>
      <c r="E299" s="106"/>
      <c r="F299" s="106"/>
      <c r="G299" s="106"/>
      <c r="H299" s="106"/>
      <c r="I299" s="106"/>
      <c r="J299" s="106"/>
      <c r="K299" s="106"/>
      <c r="L299" s="106"/>
      <c r="M299" s="106"/>
      <c r="N299" s="106"/>
      <c r="O299" s="106"/>
      <c r="P299" s="106"/>
      <c r="Q299" s="106"/>
      <c r="R299" s="106"/>
      <c r="S299" s="106"/>
      <c r="T299" s="106"/>
      <c r="U299" s="106"/>
      <c r="V299" s="106"/>
      <c r="W299" s="106"/>
    </row>
    <row r="300" spans="1:23" s="35" customFormat="1" ht="50.1" customHeight="1">
      <c r="C300" s="104" t="s">
        <v>45</v>
      </c>
      <c r="D300" s="36" t="s">
        <v>96</v>
      </c>
      <c r="E300" s="36" t="s">
        <v>97</v>
      </c>
      <c r="F300" s="36" t="s">
        <v>98</v>
      </c>
      <c r="G300" s="36" t="s">
        <v>99</v>
      </c>
      <c r="H300" s="36" t="s">
        <v>100</v>
      </c>
      <c r="I300" s="36" t="s">
        <v>101</v>
      </c>
      <c r="J300" s="36" t="s">
        <v>102</v>
      </c>
      <c r="K300" s="36" t="s">
        <v>17</v>
      </c>
      <c r="L300" s="36" t="s">
        <v>103</v>
      </c>
      <c r="M300" s="36" t="s">
        <v>104</v>
      </c>
      <c r="N300" s="36" t="s">
        <v>105</v>
      </c>
      <c r="O300" s="36" t="s">
        <v>106</v>
      </c>
      <c r="P300" s="36" t="s">
        <v>107</v>
      </c>
      <c r="Q300" s="36" t="s">
        <v>108</v>
      </c>
      <c r="R300" s="36" t="s">
        <v>109</v>
      </c>
      <c r="S300" s="36" t="s">
        <v>110</v>
      </c>
      <c r="T300" s="36" t="s">
        <v>111</v>
      </c>
      <c r="U300" s="36" t="s">
        <v>112</v>
      </c>
      <c r="V300" s="36" t="s">
        <v>113</v>
      </c>
      <c r="W300" s="36" t="s">
        <v>114</v>
      </c>
    </row>
    <row r="301" spans="1:23" s="33" customFormat="1" ht="32.1" customHeight="1">
      <c r="C301" s="104"/>
      <c r="D301" s="37">
        <v>1</v>
      </c>
      <c r="E301" s="37">
        <v>2</v>
      </c>
      <c r="F301" s="37">
        <v>3</v>
      </c>
      <c r="G301" s="37">
        <v>4</v>
      </c>
      <c r="H301" s="37">
        <v>5</v>
      </c>
      <c r="I301" s="37">
        <v>6</v>
      </c>
      <c r="J301" s="37">
        <v>7</v>
      </c>
      <c r="K301" s="37">
        <v>8</v>
      </c>
      <c r="L301" s="37">
        <v>9</v>
      </c>
      <c r="M301" s="37">
        <v>10</v>
      </c>
      <c r="N301" s="37">
        <v>11</v>
      </c>
      <c r="O301" s="37">
        <v>12</v>
      </c>
      <c r="P301" s="37">
        <v>13</v>
      </c>
      <c r="Q301" s="37">
        <v>14</v>
      </c>
      <c r="R301" s="37">
        <v>15</v>
      </c>
      <c r="S301" s="37">
        <v>16</v>
      </c>
      <c r="T301" s="37">
        <v>17</v>
      </c>
      <c r="U301" s="37">
        <v>18</v>
      </c>
      <c r="V301" s="37">
        <v>19</v>
      </c>
      <c r="W301" s="38">
        <v>20</v>
      </c>
    </row>
    <row r="302" spans="1:23" s="33" customFormat="1" ht="20.100000000000001" customHeight="1">
      <c r="C302" s="39" t="s">
        <v>45</v>
      </c>
      <c r="D302" s="39" t="s">
        <v>96</v>
      </c>
      <c r="E302" s="39" t="s">
        <v>97</v>
      </c>
      <c r="F302" s="39" t="s">
        <v>98</v>
      </c>
      <c r="G302" s="39" t="s">
        <v>99</v>
      </c>
      <c r="H302" s="39" t="s">
        <v>100</v>
      </c>
      <c r="I302" s="39" t="s">
        <v>115</v>
      </c>
      <c r="J302" s="39" t="s">
        <v>102</v>
      </c>
      <c r="K302" s="39" t="s">
        <v>17</v>
      </c>
      <c r="L302" s="39" t="s">
        <v>116</v>
      </c>
      <c r="M302" s="39" t="s">
        <v>104</v>
      </c>
      <c r="N302" s="39" t="s">
        <v>117</v>
      </c>
      <c r="O302" s="39" t="s">
        <v>118</v>
      </c>
      <c r="P302" s="39" t="s">
        <v>119</v>
      </c>
      <c r="Q302" s="40" t="s">
        <v>120</v>
      </c>
      <c r="R302" s="39" t="s">
        <v>109</v>
      </c>
      <c r="S302" s="39" t="s">
        <v>110</v>
      </c>
      <c r="T302" s="40" t="s">
        <v>121</v>
      </c>
      <c r="U302" s="40" t="s">
        <v>14</v>
      </c>
      <c r="V302" s="39" t="s">
        <v>113</v>
      </c>
      <c r="W302" s="39" t="s">
        <v>122</v>
      </c>
    </row>
    <row r="303" spans="1:23" s="41" customFormat="1" ht="32.1" customHeight="1">
      <c r="B303" s="41">
        <f>B296+1</f>
        <v>9</v>
      </c>
      <c r="C303" s="42">
        <f>IF(ج_ح_آذر22[[#This Row],[نام]]&lt;&gt;"",ROW()-303+1,"")</f>
        <v>1</v>
      </c>
      <c r="D303" s="43" t="s">
        <v>123</v>
      </c>
      <c r="E303" s="43" t="s">
        <v>123</v>
      </c>
      <c r="F303" s="44">
        <v>30</v>
      </c>
      <c r="G303" s="45">
        <v>1000000</v>
      </c>
      <c r="H303" s="46">
        <f>IF(ج_ح_آذر22[[#This Row],[کارکرد]]*ج_ح_آذر22[[#This Row],[دستمزد روزانه ]]=0,"",ج_ح_آذر22[[#This Row],[کارکرد]]*ج_ح_آذر22[[#This Row],[دستمزد روزانه ]])</f>
        <v>30000000</v>
      </c>
      <c r="I303" s="47">
        <v>7.33</v>
      </c>
      <c r="J303" s="48">
        <f>(ج_ح_آذر22[[#This Row],[دستمزد روزانه ]]/7.33)*1.4*ج_ح_آذر22[[#This Row],[مدت اضافه کاری ]]</f>
        <v>1400000</v>
      </c>
      <c r="K303" s="46">
        <f>IF(ج_ح_آذر22[[#This Row],[کارکرد]]="","",ج_ح_آذر22[[#This Row],[کارکرد]]*حق_مسکن/30)</f>
        <v>0</v>
      </c>
      <c r="L303" s="49">
        <v>1</v>
      </c>
      <c r="M303" s="46">
        <f>IF(ج_ح_آذر22[[#This Row],[تعداد فرزندان]]="","",ج_ح_آذر22[[#This Row],[کارکرد]]/30*3*ج_ح_آذر22[[#This Row],[تعداد فرزندان]]*حداقل_حقوق_پایه_روزانه)</f>
        <v>0</v>
      </c>
      <c r="N303" s="46">
        <f>IF(ج_ح_آذر22[[#This Row],[کارکرد]]="","",ج_ح_آذر22[[#This Row],[کارکرد]]*حق_خواربار/30)</f>
        <v>0</v>
      </c>
      <c r="O303" s="46">
        <f>IFERROR(ج_ح_آذر22[[#This Row],[حقوق پایه]]+ج_ح_آذر22[[#This Row],[اضافه کاری]]+ج_ح_آذر22[[#This Row],[حق مسکن]]+ج_ح_آذر22[[#This Row],[حق اولاد]]+ج_ح_آذر22[[#This Row],[حق و خواروبار]],"")</f>
        <v>31400000</v>
      </c>
      <c r="P303"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03" s="46" t="str">
        <f>IFERROR(ج_ح_آذر22[[#This Row],[حقوق پایه]]+ج_ح_آذر22[[#This Row],[اضافه کاری]]-(2/7)*ج_ح_آذر22[[#This Row],[بیمه پرداختنی]],"")</f>
        <v/>
      </c>
      <c r="R303" s="45"/>
      <c r="S303" s="45"/>
      <c r="T303" s="46" t="str">
        <f>IFERROR(ج_ح_آذر22[[#This Row],[جمع ح و م م بیمه ]]*7%,"")</f>
        <v/>
      </c>
      <c r="U303"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03" s="46" t="str">
        <f>IFERROR(ج_ح_آذر22[[#This Row],[وام]]+ج_ح_آذر22[[#This Row],[مساعده]]+ج_ح_آذر22[[#This Row],[بیمه پرداختنی]]+ج_ح_آذر22[[#This Row],[مالیات پرداختنی]],"")</f>
        <v/>
      </c>
      <c r="W303" s="46" t="str">
        <f>IFERROR(ج_ح_آذر22[[#This Row],[جمع ح و م]]-ج_ح_آذر22[[#This Row],[جمع کسورات]],"")</f>
        <v/>
      </c>
    </row>
    <row r="304" spans="1:23" s="41" customFormat="1" ht="32.1" customHeight="1">
      <c r="B304" s="41">
        <f>B303</f>
        <v>9</v>
      </c>
      <c r="C304" s="42" t="str">
        <f>IF(ج_ح_آذر22[[#This Row],[نام]]&lt;&gt;"",ROW()-303+1,"")</f>
        <v/>
      </c>
      <c r="D304" s="43"/>
      <c r="E304" s="43"/>
      <c r="F304" s="44"/>
      <c r="G304" s="45"/>
      <c r="H304" s="46" t="str">
        <f>IF(ج_ح_آذر22[[#This Row],[کارکرد]]*ج_ح_آذر22[[#This Row],[دستمزد روزانه ]]=0,"",ج_ح_آذر22[[#This Row],[کارکرد]]*ج_ح_آذر22[[#This Row],[دستمزد روزانه ]])</f>
        <v/>
      </c>
      <c r="I304" s="47"/>
      <c r="J304" s="48">
        <f>(ج_ح_آذر22[[#This Row],[دستمزد روزانه ]]/7.33)*1.4*ج_ح_آذر22[[#This Row],[مدت اضافه کاری ]]</f>
        <v>0</v>
      </c>
      <c r="K304" s="46" t="str">
        <f>IF(ج_ح_آذر22[[#This Row],[کارکرد]]="","",ج_ح_آذر22[[#This Row],[کارکرد]]*حق_مسکن/30)</f>
        <v/>
      </c>
      <c r="L304" s="49"/>
      <c r="M304" s="46" t="str">
        <f>IF(ج_ح_آذر22[[#This Row],[تعداد فرزندان]]="","",ج_ح_آذر22[[#This Row],[کارکرد]]/30*3*ج_ح_آذر22[[#This Row],[تعداد فرزندان]]*حداقل_حقوق_پایه_روزانه)</f>
        <v/>
      </c>
      <c r="N304" s="46" t="str">
        <f>IF(ج_ح_آذر22[[#This Row],[کارکرد]]="","",ج_ح_آذر22[[#This Row],[کارکرد]]*حق_خواربار/30)</f>
        <v/>
      </c>
      <c r="O304" s="46" t="str">
        <f>IFERROR(ج_ح_آذر22[[#This Row],[حقوق پایه]]+ج_ح_آذر22[[#This Row],[اضافه کاری]]+ج_ح_آذر22[[#This Row],[حق مسکن]]+ج_ح_آذر22[[#This Row],[حق اولاد]]+ج_ح_آذر22[[#This Row],[حق و خواروبار]],"")</f>
        <v/>
      </c>
      <c r="P304"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04" s="46" t="str">
        <f>IFERROR(ج_ح_آذر22[[#This Row],[حقوق پایه]]+ج_ح_آذر22[[#This Row],[اضافه کاری]]-(2/7)*ج_ح_آذر22[[#This Row],[بیمه پرداختنی]],"")</f>
        <v/>
      </c>
      <c r="R304" s="45"/>
      <c r="S304" s="45"/>
      <c r="T304" s="46" t="str">
        <f>IFERROR(ج_ح_آذر22[[#This Row],[جمع ح و م م بیمه ]]*7%,"")</f>
        <v/>
      </c>
      <c r="U304"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04" s="46" t="str">
        <f>IFERROR(ج_ح_آذر22[[#This Row],[وام]]+ج_ح_آذر22[[#This Row],[مساعده]]+ج_ح_آذر22[[#This Row],[بیمه پرداختنی]]+ج_ح_آذر22[[#This Row],[مالیات پرداختنی]],"")</f>
        <v/>
      </c>
      <c r="W304" s="46" t="str">
        <f>IFERROR(ج_ح_آذر22[[#This Row],[جمع ح و م]]-ج_ح_آذر22[[#This Row],[جمع کسورات]],"")</f>
        <v/>
      </c>
    </row>
    <row r="305" spans="2:23" s="41" customFormat="1" ht="32.1" customHeight="1">
      <c r="B305" s="41">
        <f t="shared" ref="B305:B333" si="7">B304</f>
        <v>9</v>
      </c>
      <c r="C305" s="42" t="str">
        <f>IF(ج_ح_آذر22[[#This Row],[نام]]&lt;&gt;"",ROW()-303+1,"")</f>
        <v/>
      </c>
      <c r="D305" s="43"/>
      <c r="E305" s="43"/>
      <c r="F305" s="44"/>
      <c r="G305" s="45"/>
      <c r="H305" s="46" t="str">
        <f>IF(ج_ح_آذر22[[#This Row],[کارکرد]]*ج_ح_آذر22[[#This Row],[دستمزد روزانه ]]=0,"",ج_ح_آذر22[[#This Row],[کارکرد]]*ج_ح_آذر22[[#This Row],[دستمزد روزانه ]])</f>
        <v/>
      </c>
      <c r="I305" s="47"/>
      <c r="J305" s="48">
        <f>(ج_ح_آذر22[[#This Row],[دستمزد روزانه ]]/7.33)*1.4*ج_ح_آذر22[[#This Row],[مدت اضافه کاری ]]</f>
        <v>0</v>
      </c>
      <c r="K305" s="46" t="str">
        <f>IF(ج_ح_آذر22[[#This Row],[کارکرد]]="","",ج_ح_آذر22[[#This Row],[کارکرد]]*حق_مسکن/30)</f>
        <v/>
      </c>
      <c r="L305" s="49"/>
      <c r="M305" s="46" t="str">
        <f>IF(ج_ح_آذر22[[#This Row],[تعداد فرزندان]]="","",ج_ح_آذر22[[#This Row],[کارکرد]]/30*3*ج_ح_آذر22[[#This Row],[تعداد فرزندان]]*حداقل_حقوق_پایه_روزانه)</f>
        <v/>
      </c>
      <c r="N305" s="46" t="str">
        <f>IF(ج_ح_آذر22[[#This Row],[کارکرد]]="","",ج_ح_آذر22[[#This Row],[کارکرد]]*حق_خواربار/30)</f>
        <v/>
      </c>
      <c r="O305" s="46" t="str">
        <f>IFERROR(ج_ح_آذر22[[#This Row],[حقوق پایه]]+ج_ح_آذر22[[#This Row],[اضافه کاری]]+ج_ح_آذر22[[#This Row],[حق مسکن]]+ج_ح_آذر22[[#This Row],[حق اولاد]]+ج_ح_آذر22[[#This Row],[حق و خواروبار]],"")</f>
        <v/>
      </c>
      <c r="P305"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05" s="46" t="str">
        <f>IFERROR(ج_ح_آذر22[[#This Row],[حقوق پایه]]+ج_ح_آذر22[[#This Row],[اضافه کاری]]-(2/7)*ج_ح_آذر22[[#This Row],[بیمه پرداختنی]],"")</f>
        <v/>
      </c>
      <c r="R305" s="45"/>
      <c r="S305" s="45"/>
      <c r="T305" s="46" t="str">
        <f>IFERROR(ج_ح_آذر22[[#This Row],[جمع ح و م م بیمه ]]*7%,"")</f>
        <v/>
      </c>
      <c r="U305"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05" s="46" t="str">
        <f>IFERROR(ج_ح_آذر22[[#This Row],[وام]]+ج_ح_آذر22[[#This Row],[مساعده]]+ج_ح_آذر22[[#This Row],[بیمه پرداختنی]]+ج_ح_آذر22[[#This Row],[مالیات پرداختنی]],"")</f>
        <v/>
      </c>
      <c r="W305" s="46" t="str">
        <f>IFERROR(ج_ح_آذر22[[#This Row],[جمع ح و م]]-ج_ح_آذر22[[#This Row],[جمع کسورات]],"")</f>
        <v/>
      </c>
    </row>
    <row r="306" spans="2:23" s="41" customFormat="1" ht="32.1" customHeight="1">
      <c r="B306" s="41">
        <f t="shared" si="7"/>
        <v>9</v>
      </c>
      <c r="C306" s="42" t="str">
        <f>IF(ج_ح_آذر22[[#This Row],[نام]]&lt;&gt;"",ROW()-303+1,"")</f>
        <v/>
      </c>
      <c r="D306" s="43"/>
      <c r="E306" s="43"/>
      <c r="F306" s="44"/>
      <c r="G306" s="45"/>
      <c r="H306" s="46" t="str">
        <f>IF(ج_ح_آذر22[[#This Row],[کارکرد]]*ج_ح_آذر22[[#This Row],[دستمزد روزانه ]]=0,"",ج_ح_آذر22[[#This Row],[کارکرد]]*ج_ح_آذر22[[#This Row],[دستمزد روزانه ]])</f>
        <v/>
      </c>
      <c r="I306" s="47"/>
      <c r="J306" s="48">
        <f>(ج_ح_آذر22[[#This Row],[دستمزد روزانه ]]/7.33)*1.4*ج_ح_آذر22[[#This Row],[مدت اضافه کاری ]]</f>
        <v>0</v>
      </c>
      <c r="K306" s="46" t="str">
        <f>IF(ج_ح_آذر22[[#This Row],[کارکرد]]="","",ج_ح_آذر22[[#This Row],[کارکرد]]*حق_مسکن/30)</f>
        <v/>
      </c>
      <c r="L306" s="49"/>
      <c r="M306" s="46" t="str">
        <f>IF(ج_ح_آذر22[[#This Row],[تعداد فرزندان]]="","",ج_ح_آذر22[[#This Row],[کارکرد]]/30*3*ج_ح_آذر22[[#This Row],[تعداد فرزندان]]*حداقل_حقوق_پایه_روزانه)</f>
        <v/>
      </c>
      <c r="N306" s="46" t="str">
        <f>IF(ج_ح_آذر22[[#This Row],[کارکرد]]="","",ج_ح_آذر22[[#This Row],[کارکرد]]*حق_خواربار/30)</f>
        <v/>
      </c>
      <c r="O306" s="46" t="str">
        <f>IFERROR(ج_ح_آذر22[[#This Row],[حقوق پایه]]+ج_ح_آذر22[[#This Row],[اضافه کاری]]+ج_ح_آذر22[[#This Row],[حق مسکن]]+ج_ح_آذر22[[#This Row],[حق اولاد]]+ج_ح_آذر22[[#This Row],[حق و خواروبار]],"")</f>
        <v/>
      </c>
      <c r="P306"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06" s="46" t="str">
        <f>IFERROR(ج_ح_آذر22[[#This Row],[حقوق پایه]]+ج_ح_آذر22[[#This Row],[اضافه کاری]]-(2/7)*ج_ح_آذر22[[#This Row],[بیمه پرداختنی]],"")</f>
        <v/>
      </c>
      <c r="R306" s="45"/>
      <c r="S306" s="45"/>
      <c r="T306" s="46" t="str">
        <f>IFERROR(ج_ح_آذر22[[#This Row],[جمع ح و م م بیمه ]]*7%,"")</f>
        <v/>
      </c>
      <c r="U306"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06" s="46" t="str">
        <f>IFERROR(ج_ح_آذر22[[#This Row],[وام]]+ج_ح_آذر22[[#This Row],[مساعده]]+ج_ح_آذر22[[#This Row],[بیمه پرداختنی]]+ج_ح_آذر22[[#This Row],[مالیات پرداختنی]],"")</f>
        <v/>
      </c>
      <c r="W306" s="46" t="str">
        <f>IFERROR(ج_ح_آذر22[[#This Row],[جمع ح و م]]-ج_ح_آذر22[[#This Row],[جمع کسورات]],"")</f>
        <v/>
      </c>
    </row>
    <row r="307" spans="2:23" s="41" customFormat="1" ht="32.1" customHeight="1">
      <c r="B307" s="41">
        <f t="shared" si="7"/>
        <v>9</v>
      </c>
      <c r="C307" s="42" t="str">
        <f>IF(ج_ح_آذر22[[#This Row],[نام]]&lt;&gt;"",ROW()-303+1,"")</f>
        <v/>
      </c>
      <c r="D307" s="43"/>
      <c r="E307" s="43"/>
      <c r="F307" s="44"/>
      <c r="G307" s="45"/>
      <c r="H307" s="46" t="str">
        <f>IF(ج_ح_آذر22[[#This Row],[کارکرد]]*ج_ح_آذر22[[#This Row],[دستمزد روزانه ]]=0,"",ج_ح_آذر22[[#This Row],[کارکرد]]*ج_ح_آذر22[[#This Row],[دستمزد روزانه ]])</f>
        <v/>
      </c>
      <c r="I307" s="47"/>
      <c r="J307" s="48">
        <f>(ج_ح_آذر22[[#This Row],[دستمزد روزانه ]]/7.33)*1.4*ج_ح_آذر22[[#This Row],[مدت اضافه کاری ]]</f>
        <v>0</v>
      </c>
      <c r="K307" s="46" t="str">
        <f>IF(ج_ح_آذر22[[#This Row],[کارکرد]]="","",ج_ح_آذر22[[#This Row],[کارکرد]]*حق_مسکن/30)</f>
        <v/>
      </c>
      <c r="L307" s="49"/>
      <c r="M307" s="46" t="str">
        <f>IF(ج_ح_آذر22[[#This Row],[تعداد فرزندان]]="","",ج_ح_آذر22[[#This Row],[کارکرد]]/30*3*ج_ح_آذر22[[#This Row],[تعداد فرزندان]]*حداقل_حقوق_پایه_روزانه)</f>
        <v/>
      </c>
      <c r="N307" s="46" t="str">
        <f>IF(ج_ح_آذر22[[#This Row],[کارکرد]]="","",ج_ح_آذر22[[#This Row],[کارکرد]]*حق_خواربار/30)</f>
        <v/>
      </c>
      <c r="O307" s="46" t="str">
        <f>IFERROR(ج_ح_آذر22[[#This Row],[حقوق پایه]]+ج_ح_آذر22[[#This Row],[اضافه کاری]]+ج_ح_آذر22[[#This Row],[حق مسکن]]+ج_ح_آذر22[[#This Row],[حق اولاد]]+ج_ح_آذر22[[#This Row],[حق و خواروبار]],"")</f>
        <v/>
      </c>
      <c r="P307"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07" s="46" t="str">
        <f>IFERROR(ج_ح_آذر22[[#This Row],[حقوق پایه]]+ج_ح_آذر22[[#This Row],[اضافه کاری]]-(2/7)*ج_ح_آذر22[[#This Row],[بیمه پرداختنی]],"")</f>
        <v/>
      </c>
      <c r="R307" s="45"/>
      <c r="S307" s="45"/>
      <c r="T307" s="46" t="str">
        <f>IFERROR(ج_ح_آذر22[[#This Row],[جمع ح و م م بیمه ]]*7%,"")</f>
        <v/>
      </c>
      <c r="U307"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07" s="46" t="str">
        <f>IFERROR(ج_ح_آذر22[[#This Row],[وام]]+ج_ح_آذر22[[#This Row],[مساعده]]+ج_ح_آذر22[[#This Row],[بیمه پرداختنی]]+ج_ح_آذر22[[#This Row],[مالیات پرداختنی]],"")</f>
        <v/>
      </c>
      <c r="W307" s="46" t="str">
        <f>IFERROR(ج_ح_آذر22[[#This Row],[جمع ح و م]]-ج_ح_آذر22[[#This Row],[جمع کسورات]],"")</f>
        <v/>
      </c>
    </row>
    <row r="308" spans="2:23" s="41" customFormat="1" ht="32.1" customHeight="1">
      <c r="B308" s="41">
        <f t="shared" si="7"/>
        <v>9</v>
      </c>
      <c r="C308" s="42" t="str">
        <f>IF(ج_ح_آذر22[[#This Row],[نام]]&lt;&gt;"",ROW()-303+1,"")</f>
        <v/>
      </c>
      <c r="D308" s="43"/>
      <c r="E308" s="43"/>
      <c r="F308" s="44"/>
      <c r="G308" s="45"/>
      <c r="H308" s="46" t="str">
        <f>IF(ج_ح_آذر22[[#This Row],[کارکرد]]*ج_ح_آذر22[[#This Row],[دستمزد روزانه ]]=0,"",ج_ح_آذر22[[#This Row],[کارکرد]]*ج_ح_آذر22[[#This Row],[دستمزد روزانه ]])</f>
        <v/>
      </c>
      <c r="I308" s="47"/>
      <c r="J308" s="48">
        <f>(ج_ح_آذر22[[#This Row],[دستمزد روزانه ]]/7.33)*1.4*ج_ح_آذر22[[#This Row],[مدت اضافه کاری ]]</f>
        <v>0</v>
      </c>
      <c r="K308" s="46" t="str">
        <f>IF(ج_ح_آذر22[[#This Row],[کارکرد]]="","",ج_ح_آذر22[[#This Row],[کارکرد]]*حق_مسکن/30)</f>
        <v/>
      </c>
      <c r="L308" s="49"/>
      <c r="M308" s="46" t="str">
        <f>IF(ج_ح_آذر22[[#This Row],[تعداد فرزندان]]="","",ج_ح_آذر22[[#This Row],[کارکرد]]/30*3*ج_ح_آذر22[[#This Row],[تعداد فرزندان]]*حداقل_حقوق_پایه_روزانه)</f>
        <v/>
      </c>
      <c r="N308" s="46" t="str">
        <f>IF(ج_ح_آذر22[[#This Row],[کارکرد]]="","",ج_ح_آذر22[[#This Row],[کارکرد]]*حق_خواربار/30)</f>
        <v/>
      </c>
      <c r="O308" s="46" t="str">
        <f>IFERROR(ج_ح_آذر22[[#This Row],[حقوق پایه]]+ج_ح_آذر22[[#This Row],[اضافه کاری]]+ج_ح_آذر22[[#This Row],[حق مسکن]]+ج_ح_آذر22[[#This Row],[حق اولاد]]+ج_ح_آذر22[[#This Row],[حق و خواروبار]],"")</f>
        <v/>
      </c>
      <c r="P308"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08" s="46" t="str">
        <f>IFERROR(ج_ح_آذر22[[#This Row],[حقوق پایه]]+ج_ح_آذر22[[#This Row],[اضافه کاری]]-(2/7)*ج_ح_آذر22[[#This Row],[بیمه پرداختنی]],"")</f>
        <v/>
      </c>
      <c r="R308" s="45"/>
      <c r="S308" s="45"/>
      <c r="T308" s="46" t="str">
        <f>IFERROR(ج_ح_آذر22[[#This Row],[جمع ح و م م بیمه ]]*7%,"")</f>
        <v/>
      </c>
      <c r="U308"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08" s="46" t="str">
        <f>IFERROR(ج_ح_آذر22[[#This Row],[وام]]+ج_ح_آذر22[[#This Row],[مساعده]]+ج_ح_آذر22[[#This Row],[بیمه پرداختنی]]+ج_ح_آذر22[[#This Row],[مالیات پرداختنی]],"")</f>
        <v/>
      </c>
      <c r="W308" s="46" t="str">
        <f>IFERROR(ج_ح_آذر22[[#This Row],[جمع ح و م]]-ج_ح_آذر22[[#This Row],[جمع کسورات]],"")</f>
        <v/>
      </c>
    </row>
    <row r="309" spans="2:23" s="41" customFormat="1" ht="32.1" customHeight="1">
      <c r="B309" s="41">
        <f t="shared" si="7"/>
        <v>9</v>
      </c>
      <c r="C309" s="42" t="str">
        <f>IF(ج_ح_آذر22[[#This Row],[نام]]&lt;&gt;"",ROW()-303+1,"")</f>
        <v/>
      </c>
      <c r="D309" s="43"/>
      <c r="E309" s="43"/>
      <c r="F309" s="44"/>
      <c r="G309" s="45"/>
      <c r="H309" s="46" t="str">
        <f>IF(ج_ح_آذر22[[#This Row],[کارکرد]]*ج_ح_آذر22[[#This Row],[دستمزد روزانه ]]=0,"",ج_ح_آذر22[[#This Row],[کارکرد]]*ج_ح_آذر22[[#This Row],[دستمزد روزانه ]])</f>
        <v/>
      </c>
      <c r="I309" s="47"/>
      <c r="J309" s="48">
        <f>(ج_ح_آذر22[[#This Row],[دستمزد روزانه ]]/7.33)*1.4*ج_ح_آذر22[[#This Row],[مدت اضافه کاری ]]</f>
        <v>0</v>
      </c>
      <c r="K309" s="46" t="str">
        <f>IF(ج_ح_آذر22[[#This Row],[کارکرد]]="","",ج_ح_آذر22[[#This Row],[کارکرد]]*حق_مسکن/30)</f>
        <v/>
      </c>
      <c r="L309" s="49"/>
      <c r="M309" s="46" t="str">
        <f>IF(ج_ح_آذر22[[#This Row],[تعداد فرزندان]]="","",ج_ح_آذر22[[#This Row],[کارکرد]]/30*3*ج_ح_آذر22[[#This Row],[تعداد فرزندان]]*حداقل_حقوق_پایه_روزانه)</f>
        <v/>
      </c>
      <c r="N309" s="46" t="str">
        <f>IF(ج_ح_آذر22[[#This Row],[کارکرد]]="","",ج_ح_آذر22[[#This Row],[کارکرد]]*حق_خواربار/30)</f>
        <v/>
      </c>
      <c r="O309" s="46" t="str">
        <f>IFERROR(ج_ح_آذر22[[#This Row],[حقوق پایه]]+ج_ح_آذر22[[#This Row],[اضافه کاری]]+ج_ح_آذر22[[#This Row],[حق مسکن]]+ج_ح_آذر22[[#This Row],[حق اولاد]]+ج_ح_آذر22[[#This Row],[حق و خواروبار]],"")</f>
        <v/>
      </c>
      <c r="P309"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09" s="46" t="str">
        <f>IFERROR(ج_ح_آذر22[[#This Row],[حقوق پایه]]+ج_ح_آذر22[[#This Row],[اضافه کاری]]-(2/7)*ج_ح_آذر22[[#This Row],[بیمه پرداختنی]],"")</f>
        <v/>
      </c>
      <c r="R309" s="45"/>
      <c r="S309" s="45"/>
      <c r="T309" s="46" t="str">
        <f>IFERROR(ج_ح_آذر22[[#This Row],[جمع ح و م م بیمه ]]*7%,"")</f>
        <v/>
      </c>
      <c r="U309"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09" s="46" t="str">
        <f>IFERROR(ج_ح_آذر22[[#This Row],[وام]]+ج_ح_آذر22[[#This Row],[مساعده]]+ج_ح_آذر22[[#This Row],[بیمه پرداختنی]]+ج_ح_آذر22[[#This Row],[مالیات پرداختنی]],"")</f>
        <v/>
      </c>
      <c r="W309" s="46" t="str">
        <f>IFERROR(ج_ح_آذر22[[#This Row],[جمع ح و م]]-ج_ح_آذر22[[#This Row],[جمع کسورات]],"")</f>
        <v/>
      </c>
    </row>
    <row r="310" spans="2:23" s="41" customFormat="1" ht="32.1" customHeight="1">
      <c r="B310" s="41">
        <f t="shared" si="7"/>
        <v>9</v>
      </c>
      <c r="C310" s="42" t="str">
        <f>IF(ج_ح_آذر22[[#This Row],[نام]]&lt;&gt;"",ROW()-303+1,"")</f>
        <v/>
      </c>
      <c r="D310" s="43"/>
      <c r="E310" s="43"/>
      <c r="F310" s="44"/>
      <c r="G310" s="45"/>
      <c r="H310" s="46" t="str">
        <f>IF(ج_ح_آذر22[[#This Row],[کارکرد]]*ج_ح_آذر22[[#This Row],[دستمزد روزانه ]]=0,"",ج_ح_آذر22[[#This Row],[کارکرد]]*ج_ح_آذر22[[#This Row],[دستمزد روزانه ]])</f>
        <v/>
      </c>
      <c r="I310" s="47"/>
      <c r="J310" s="48">
        <f>(ج_ح_آذر22[[#This Row],[دستمزد روزانه ]]/7.33)*1.4*ج_ح_آذر22[[#This Row],[مدت اضافه کاری ]]</f>
        <v>0</v>
      </c>
      <c r="K310" s="46" t="str">
        <f>IF(ج_ح_آذر22[[#This Row],[کارکرد]]="","",ج_ح_آذر22[[#This Row],[کارکرد]]*حق_مسکن/30)</f>
        <v/>
      </c>
      <c r="L310" s="49"/>
      <c r="M310" s="46" t="str">
        <f>IF(ج_ح_آذر22[[#This Row],[تعداد فرزندان]]="","",ج_ح_آذر22[[#This Row],[کارکرد]]/30*3*ج_ح_آذر22[[#This Row],[تعداد فرزندان]]*حداقل_حقوق_پایه_روزانه)</f>
        <v/>
      </c>
      <c r="N310" s="46" t="str">
        <f>IF(ج_ح_آذر22[[#This Row],[کارکرد]]="","",ج_ح_آذر22[[#This Row],[کارکرد]]*حق_خواربار/30)</f>
        <v/>
      </c>
      <c r="O310" s="46" t="str">
        <f>IFERROR(ج_ح_آذر22[[#This Row],[حقوق پایه]]+ج_ح_آذر22[[#This Row],[اضافه کاری]]+ج_ح_آذر22[[#This Row],[حق مسکن]]+ج_ح_آذر22[[#This Row],[حق اولاد]]+ج_ح_آذر22[[#This Row],[حق و خواروبار]],"")</f>
        <v/>
      </c>
      <c r="P310"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10" s="46" t="str">
        <f>IFERROR(ج_ح_آذر22[[#This Row],[حقوق پایه]]+ج_ح_آذر22[[#This Row],[اضافه کاری]]-(2/7)*ج_ح_آذر22[[#This Row],[بیمه پرداختنی]],"")</f>
        <v/>
      </c>
      <c r="R310" s="45"/>
      <c r="S310" s="45"/>
      <c r="T310" s="46" t="str">
        <f>IFERROR(ج_ح_آذر22[[#This Row],[جمع ح و م م بیمه ]]*7%,"")</f>
        <v/>
      </c>
      <c r="U310"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10" s="46" t="str">
        <f>IFERROR(ج_ح_آذر22[[#This Row],[وام]]+ج_ح_آذر22[[#This Row],[مساعده]]+ج_ح_آذر22[[#This Row],[بیمه پرداختنی]]+ج_ح_آذر22[[#This Row],[مالیات پرداختنی]],"")</f>
        <v/>
      </c>
      <c r="W310" s="46" t="str">
        <f>IFERROR(ج_ح_آذر22[[#This Row],[جمع ح و م]]-ج_ح_آذر22[[#This Row],[جمع کسورات]],"")</f>
        <v/>
      </c>
    </row>
    <row r="311" spans="2:23" s="41" customFormat="1" ht="32.1" customHeight="1">
      <c r="B311" s="41">
        <f t="shared" si="7"/>
        <v>9</v>
      </c>
      <c r="C311" s="42" t="str">
        <f>IF(ج_ح_آذر22[[#This Row],[نام]]&lt;&gt;"",ROW()-303+1,"")</f>
        <v/>
      </c>
      <c r="D311" s="43"/>
      <c r="E311" s="43"/>
      <c r="F311" s="44"/>
      <c r="G311" s="45"/>
      <c r="H311" s="46" t="str">
        <f>IF(ج_ح_آذر22[[#This Row],[کارکرد]]*ج_ح_آذر22[[#This Row],[دستمزد روزانه ]]=0,"",ج_ح_آذر22[[#This Row],[کارکرد]]*ج_ح_آذر22[[#This Row],[دستمزد روزانه ]])</f>
        <v/>
      </c>
      <c r="I311" s="47"/>
      <c r="J311" s="48">
        <f>(ج_ح_آذر22[[#This Row],[دستمزد روزانه ]]/7.33)*1.4*ج_ح_آذر22[[#This Row],[مدت اضافه کاری ]]</f>
        <v>0</v>
      </c>
      <c r="K311" s="46" t="str">
        <f>IF(ج_ح_آذر22[[#This Row],[کارکرد]]="","",ج_ح_آذر22[[#This Row],[کارکرد]]*حق_مسکن/30)</f>
        <v/>
      </c>
      <c r="L311" s="49"/>
      <c r="M311" s="46" t="str">
        <f>IF(ج_ح_آذر22[[#This Row],[تعداد فرزندان]]="","",ج_ح_آذر22[[#This Row],[کارکرد]]/30*3*ج_ح_آذر22[[#This Row],[تعداد فرزندان]]*حداقل_حقوق_پایه_روزانه)</f>
        <v/>
      </c>
      <c r="N311" s="46" t="str">
        <f>IF(ج_ح_آذر22[[#This Row],[کارکرد]]="","",ج_ح_آذر22[[#This Row],[کارکرد]]*حق_خواربار/30)</f>
        <v/>
      </c>
      <c r="O311" s="46" t="str">
        <f>IFERROR(ج_ح_آذر22[[#This Row],[حقوق پایه]]+ج_ح_آذر22[[#This Row],[اضافه کاری]]+ج_ح_آذر22[[#This Row],[حق مسکن]]+ج_ح_آذر22[[#This Row],[حق اولاد]]+ج_ح_آذر22[[#This Row],[حق و خواروبار]],"")</f>
        <v/>
      </c>
      <c r="P311"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11" s="46" t="str">
        <f>IFERROR(ج_ح_آذر22[[#This Row],[حقوق پایه]]+ج_ح_آذر22[[#This Row],[اضافه کاری]]-(2/7)*ج_ح_آذر22[[#This Row],[بیمه پرداختنی]],"")</f>
        <v/>
      </c>
      <c r="R311" s="45"/>
      <c r="S311" s="45"/>
      <c r="T311" s="46" t="str">
        <f>IFERROR(ج_ح_آذر22[[#This Row],[جمع ح و م م بیمه ]]*7%,"")</f>
        <v/>
      </c>
      <c r="U311"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11" s="46" t="str">
        <f>IFERROR(ج_ح_آذر22[[#This Row],[وام]]+ج_ح_آذر22[[#This Row],[مساعده]]+ج_ح_آذر22[[#This Row],[بیمه پرداختنی]]+ج_ح_آذر22[[#This Row],[مالیات پرداختنی]],"")</f>
        <v/>
      </c>
      <c r="W311" s="46" t="str">
        <f>IFERROR(ج_ح_آذر22[[#This Row],[جمع ح و م]]-ج_ح_آذر22[[#This Row],[جمع کسورات]],"")</f>
        <v/>
      </c>
    </row>
    <row r="312" spans="2:23" s="41" customFormat="1" ht="32.1" customHeight="1">
      <c r="B312" s="41">
        <f t="shared" si="7"/>
        <v>9</v>
      </c>
      <c r="C312" s="42" t="str">
        <f>IF(ج_ح_آذر22[[#This Row],[نام]]&lt;&gt;"",ROW()-303+1,"")</f>
        <v/>
      </c>
      <c r="D312" s="43"/>
      <c r="E312" s="43"/>
      <c r="F312" s="44"/>
      <c r="G312" s="45"/>
      <c r="H312" s="46" t="str">
        <f>IF(ج_ح_آذر22[[#This Row],[کارکرد]]*ج_ح_آذر22[[#This Row],[دستمزد روزانه ]]=0,"",ج_ح_آذر22[[#This Row],[کارکرد]]*ج_ح_آذر22[[#This Row],[دستمزد روزانه ]])</f>
        <v/>
      </c>
      <c r="I312" s="47"/>
      <c r="J312" s="48">
        <f>(ج_ح_آذر22[[#This Row],[دستمزد روزانه ]]/7.33)*1.4*ج_ح_آذر22[[#This Row],[مدت اضافه کاری ]]</f>
        <v>0</v>
      </c>
      <c r="K312" s="46" t="str">
        <f>IF(ج_ح_آذر22[[#This Row],[کارکرد]]="","",ج_ح_آذر22[[#This Row],[کارکرد]]*حق_مسکن/30)</f>
        <v/>
      </c>
      <c r="L312" s="49"/>
      <c r="M312" s="46" t="str">
        <f>IF(ج_ح_آذر22[[#This Row],[تعداد فرزندان]]="","",ج_ح_آذر22[[#This Row],[کارکرد]]/30*3*ج_ح_آذر22[[#This Row],[تعداد فرزندان]]*حداقل_حقوق_پایه_روزانه)</f>
        <v/>
      </c>
      <c r="N312" s="46" t="str">
        <f>IF(ج_ح_آذر22[[#This Row],[کارکرد]]="","",ج_ح_آذر22[[#This Row],[کارکرد]]*حق_خواربار/30)</f>
        <v/>
      </c>
      <c r="O312" s="46" t="str">
        <f>IFERROR(ج_ح_آذر22[[#This Row],[حقوق پایه]]+ج_ح_آذر22[[#This Row],[اضافه کاری]]+ج_ح_آذر22[[#This Row],[حق مسکن]]+ج_ح_آذر22[[#This Row],[حق اولاد]]+ج_ح_آذر22[[#This Row],[حق و خواروبار]],"")</f>
        <v/>
      </c>
      <c r="P312"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12" s="46" t="str">
        <f>IFERROR(ج_ح_آذر22[[#This Row],[حقوق پایه]]+ج_ح_آذر22[[#This Row],[اضافه کاری]]-(2/7)*ج_ح_آذر22[[#This Row],[بیمه پرداختنی]],"")</f>
        <v/>
      </c>
      <c r="R312" s="45"/>
      <c r="S312" s="45"/>
      <c r="T312" s="46" t="str">
        <f>IFERROR(ج_ح_آذر22[[#This Row],[جمع ح و م م بیمه ]]*7%,"")</f>
        <v/>
      </c>
      <c r="U312"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12" s="46" t="str">
        <f>IFERROR(ج_ح_آذر22[[#This Row],[وام]]+ج_ح_آذر22[[#This Row],[مساعده]]+ج_ح_آذر22[[#This Row],[بیمه پرداختنی]]+ج_ح_آذر22[[#This Row],[مالیات پرداختنی]],"")</f>
        <v/>
      </c>
      <c r="W312" s="46" t="str">
        <f>IFERROR(ج_ح_آذر22[[#This Row],[جمع ح و م]]-ج_ح_آذر22[[#This Row],[جمع کسورات]],"")</f>
        <v/>
      </c>
    </row>
    <row r="313" spans="2:23" s="41" customFormat="1" ht="32.1" customHeight="1">
      <c r="B313" s="41">
        <f t="shared" si="7"/>
        <v>9</v>
      </c>
      <c r="C313" s="42" t="str">
        <f>IF(ج_ح_آذر22[[#This Row],[نام]]&lt;&gt;"",ROW()-303+1,"")</f>
        <v/>
      </c>
      <c r="D313" s="43"/>
      <c r="E313" s="43"/>
      <c r="F313" s="44"/>
      <c r="G313" s="45"/>
      <c r="H313" s="46" t="str">
        <f>IF(ج_ح_آذر22[[#This Row],[کارکرد]]*ج_ح_آذر22[[#This Row],[دستمزد روزانه ]]=0,"",ج_ح_آذر22[[#This Row],[کارکرد]]*ج_ح_آذر22[[#This Row],[دستمزد روزانه ]])</f>
        <v/>
      </c>
      <c r="I313" s="47"/>
      <c r="J313" s="48">
        <f>(ج_ح_آذر22[[#This Row],[دستمزد روزانه ]]/7.33)*1.4*ج_ح_آذر22[[#This Row],[مدت اضافه کاری ]]</f>
        <v>0</v>
      </c>
      <c r="K313" s="46" t="str">
        <f>IF(ج_ح_آذر22[[#This Row],[کارکرد]]="","",ج_ح_آذر22[[#This Row],[کارکرد]]*حق_مسکن/30)</f>
        <v/>
      </c>
      <c r="L313" s="49"/>
      <c r="M313" s="46" t="str">
        <f>IF(ج_ح_آذر22[[#This Row],[تعداد فرزندان]]="","",ج_ح_آذر22[[#This Row],[کارکرد]]/30*3*ج_ح_آذر22[[#This Row],[تعداد فرزندان]]*حداقل_حقوق_پایه_روزانه)</f>
        <v/>
      </c>
      <c r="N313" s="46" t="str">
        <f>IF(ج_ح_آذر22[[#This Row],[کارکرد]]="","",ج_ح_آذر22[[#This Row],[کارکرد]]*حق_خواربار/30)</f>
        <v/>
      </c>
      <c r="O313" s="46" t="str">
        <f>IFERROR(ج_ح_آذر22[[#This Row],[حقوق پایه]]+ج_ح_آذر22[[#This Row],[اضافه کاری]]+ج_ح_آذر22[[#This Row],[حق مسکن]]+ج_ح_آذر22[[#This Row],[حق اولاد]]+ج_ح_آذر22[[#This Row],[حق و خواروبار]],"")</f>
        <v/>
      </c>
      <c r="P313"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13" s="46" t="str">
        <f>IFERROR(ج_ح_آذر22[[#This Row],[حقوق پایه]]+ج_ح_آذر22[[#This Row],[اضافه کاری]]-(2/7)*ج_ح_آذر22[[#This Row],[بیمه پرداختنی]],"")</f>
        <v/>
      </c>
      <c r="R313" s="45"/>
      <c r="S313" s="45"/>
      <c r="T313" s="46" t="str">
        <f>IFERROR(ج_ح_آذر22[[#This Row],[جمع ح و م م بیمه ]]*7%,"")</f>
        <v/>
      </c>
      <c r="U313"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13" s="46" t="str">
        <f>IFERROR(ج_ح_آذر22[[#This Row],[وام]]+ج_ح_آذر22[[#This Row],[مساعده]]+ج_ح_آذر22[[#This Row],[بیمه پرداختنی]]+ج_ح_آذر22[[#This Row],[مالیات پرداختنی]],"")</f>
        <v/>
      </c>
      <c r="W313" s="46" t="str">
        <f>IFERROR(ج_ح_آذر22[[#This Row],[جمع ح و م]]-ج_ح_آذر22[[#This Row],[جمع کسورات]],"")</f>
        <v/>
      </c>
    </row>
    <row r="314" spans="2:23" s="41" customFormat="1" ht="32.1" customHeight="1">
      <c r="B314" s="41">
        <f t="shared" si="7"/>
        <v>9</v>
      </c>
      <c r="C314" s="42" t="str">
        <f>IF(ج_ح_آذر22[[#This Row],[نام]]&lt;&gt;"",ROW()-303+1,"")</f>
        <v/>
      </c>
      <c r="D314" s="43"/>
      <c r="E314" s="43"/>
      <c r="F314" s="44"/>
      <c r="G314" s="45"/>
      <c r="H314" s="46" t="str">
        <f>IF(ج_ح_آذر22[[#This Row],[کارکرد]]*ج_ح_آذر22[[#This Row],[دستمزد روزانه ]]=0,"",ج_ح_آذر22[[#This Row],[کارکرد]]*ج_ح_آذر22[[#This Row],[دستمزد روزانه ]])</f>
        <v/>
      </c>
      <c r="I314" s="47"/>
      <c r="J314" s="48">
        <f>(ج_ح_آذر22[[#This Row],[دستمزد روزانه ]]/7.33)*1.4*ج_ح_آذر22[[#This Row],[مدت اضافه کاری ]]</f>
        <v>0</v>
      </c>
      <c r="K314" s="46" t="str">
        <f>IF(ج_ح_آذر22[[#This Row],[کارکرد]]="","",ج_ح_آذر22[[#This Row],[کارکرد]]*حق_مسکن/30)</f>
        <v/>
      </c>
      <c r="L314" s="49"/>
      <c r="M314" s="46" t="str">
        <f>IF(ج_ح_آذر22[[#This Row],[تعداد فرزندان]]="","",ج_ح_آذر22[[#This Row],[کارکرد]]/30*3*ج_ح_آذر22[[#This Row],[تعداد فرزندان]]*حداقل_حقوق_پایه_روزانه)</f>
        <v/>
      </c>
      <c r="N314" s="46" t="str">
        <f>IF(ج_ح_آذر22[[#This Row],[کارکرد]]="","",ج_ح_آذر22[[#This Row],[کارکرد]]*حق_خواربار/30)</f>
        <v/>
      </c>
      <c r="O314" s="46" t="str">
        <f>IFERROR(ج_ح_آذر22[[#This Row],[حقوق پایه]]+ج_ح_آذر22[[#This Row],[اضافه کاری]]+ج_ح_آذر22[[#This Row],[حق مسکن]]+ج_ح_آذر22[[#This Row],[حق اولاد]]+ج_ح_آذر22[[#This Row],[حق و خواروبار]],"")</f>
        <v/>
      </c>
      <c r="P314"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14" s="46" t="str">
        <f>IFERROR(ج_ح_آذر22[[#This Row],[حقوق پایه]]+ج_ح_آذر22[[#This Row],[اضافه کاری]]-(2/7)*ج_ح_آذر22[[#This Row],[بیمه پرداختنی]],"")</f>
        <v/>
      </c>
      <c r="R314" s="45"/>
      <c r="S314" s="45"/>
      <c r="T314" s="46" t="str">
        <f>IFERROR(ج_ح_آذر22[[#This Row],[جمع ح و م م بیمه ]]*7%,"")</f>
        <v/>
      </c>
      <c r="U314"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14" s="46" t="str">
        <f>IFERROR(ج_ح_آذر22[[#This Row],[وام]]+ج_ح_آذر22[[#This Row],[مساعده]]+ج_ح_آذر22[[#This Row],[بیمه پرداختنی]]+ج_ح_آذر22[[#This Row],[مالیات پرداختنی]],"")</f>
        <v/>
      </c>
      <c r="W314" s="46" t="str">
        <f>IFERROR(ج_ح_آذر22[[#This Row],[جمع ح و م]]-ج_ح_آذر22[[#This Row],[جمع کسورات]],"")</f>
        <v/>
      </c>
    </row>
    <row r="315" spans="2:23" s="41" customFormat="1" ht="32.1" customHeight="1">
      <c r="B315" s="41">
        <f t="shared" si="7"/>
        <v>9</v>
      </c>
      <c r="C315" s="42" t="str">
        <f>IF(ج_ح_آذر22[[#This Row],[نام]]&lt;&gt;"",ROW()-303+1,"")</f>
        <v/>
      </c>
      <c r="D315" s="43"/>
      <c r="E315" s="43"/>
      <c r="F315" s="44"/>
      <c r="G315" s="45"/>
      <c r="H315" s="46" t="str">
        <f>IF(ج_ح_آذر22[[#This Row],[کارکرد]]*ج_ح_آذر22[[#This Row],[دستمزد روزانه ]]=0,"",ج_ح_آذر22[[#This Row],[کارکرد]]*ج_ح_آذر22[[#This Row],[دستمزد روزانه ]])</f>
        <v/>
      </c>
      <c r="I315" s="47"/>
      <c r="J315" s="48">
        <f>(ج_ح_آذر22[[#This Row],[دستمزد روزانه ]]/7.33)*1.4*ج_ح_آذر22[[#This Row],[مدت اضافه کاری ]]</f>
        <v>0</v>
      </c>
      <c r="K315" s="46" t="str">
        <f>IF(ج_ح_آذر22[[#This Row],[کارکرد]]="","",ج_ح_آذر22[[#This Row],[کارکرد]]*حق_مسکن/30)</f>
        <v/>
      </c>
      <c r="L315" s="49"/>
      <c r="M315" s="46" t="str">
        <f>IF(ج_ح_آذر22[[#This Row],[تعداد فرزندان]]="","",ج_ح_آذر22[[#This Row],[کارکرد]]/30*3*ج_ح_آذر22[[#This Row],[تعداد فرزندان]]*حداقل_حقوق_پایه_روزانه)</f>
        <v/>
      </c>
      <c r="N315" s="46" t="str">
        <f>IF(ج_ح_آذر22[[#This Row],[کارکرد]]="","",ج_ح_آذر22[[#This Row],[کارکرد]]*حق_خواربار/30)</f>
        <v/>
      </c>
      <c r="O315" s="46" t="str">
        <f>IFERROR(ج_ح_آذر22[[#This Row],[حقوق پایه]]+ج_ح_آذر22[[#This Row],[اضافه کاری]]+ج_ح_آذر22[[#This Row],[حق مسکن]]+ج_ح_آذر22[[#This Row],[حق اولاد]]+ج_ح_آذر22[[#This Row],[حق و خواروبار]],"")</f>
        <v/>
      </c>
      <c r="P315"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15" s="46" t="str">
        <f>IFERROR(ج_ح_آذر22[[#This Row],[حقوق پایه]]+ج_ح_آذر22[[#This Row],[اضافه کاری]]-(2/7)*ج_ح_آذر22[[#This Row],[بیمه پرداختنی]],"")</f>
        <v/>
      </c>
      <c r="R315" s="45"/>
      <c r="S315" s="45"/>
      <c r="T315" s="46" t="str">
        <f>IFERROR(ج_ح_آذر22[[#This Row],[جمع ح و م م بیمه ]]*7%,"")</f>
        <v/>
      </c>
      <c r="U315"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15" s="46" t="str">
        <f>IFERROR(ج_ح_آذر22[[#This Row],[وام]]+ج_ح_آذر22[[#This Row],[مساعده]]+ج_ح_آذر22[[#This Row],[بیمه پرداختنی]]+ج_ح_آذر22[[#This Row],[مالیات پرداختنی]],"")</f>
        <v/>
      </c>
      <c r="W315" s="46" t="str">
        <f>IFERROR(ج_ح_آذر22[[#This Row],[جمع ح و م]]-ج_ح_آذر22[[#This Row],[جمع کسورات]],"")</f>
        <v/>
      </c>
    </row>
    <row r="316" spans="2:23" s="41" customFormat="1" ht="32.1" customHeight="1">
      <c r="B316" s="41">
        <f t="shared" si="7"/>
        <v>9</v>
      </c>
      <c r="C316" s="42" t="str">
        <f>IF(ج_ح_آذر22[[#This Row],[نام]]&lt;&gt;"",ROW()-303+1,"")</f>
        <v/>
      </c>
      <c r="D316" s="43"/>
      <c r="E316" s="43"/>
      <c r="F316" s="44"/>
      <c r="G316" s="45"/>
      <c r="H316" s="46" t="str">
        <f>IF(ج_ح_آذر22[[#This Row],[کارکرد]]*ج_ح_آذر22[[#This Row],[دستمزد روزانه ]]=0,"",ج_ح_آذر22[[#This Row],[کارکرد]]*ج_ح_آذر22[[#This Row],[دستمزد روزانه ]])</f>
        <v/>
      </c>
      <c r="I316" s="47"/>
      <c r="J316" s="48">
        <f>(ج_ح_آذر22[[#This Row],[دستمزد روزانه ]]/7.33)*1.4*ج_ح_آذر22[[#This Row],[مدت اضافه کاری ]]</f>
        <v>0</v>
      </c>
      <c r="K316" s="46" t="str">
        <f>IF(ج_ح_آذر22[[#This Row],[کارکرد]]="","",ج_ح_آذر22[[#This Row],[کارکرد]]*حق_مسکن/30)</f>
        <v/>
      </c>
      <c r="L316" s="49"/>
      <c r="M316" s="46" t="str">
        <f>IF(ج_ح_آذر22[[#This Row],[تعداد فرزندان]]="","",ج_ح_آذر22[[#This Row],[کارکرد]]/30*3*ج_ح_آذر22[[#This Row],[تعداد فرزندان]]*حداقل_حقوق_پایه_روزانه)</f>
        <v/>
      </c>
      <c r="N316" s="46" t="str">
        <f>IF(ج_ح_آذر22[[#This Row],[کارکرد]]="","",ج_ح_آذر22[[#This Row],[کارکرد]]*حق_خواربار/30)</f>
        <v/>
      </c>
      <c r="O316" s="46" t="str">
        <f>IFERROR(ج_ح_آذر22[[#This Row],[حقوق پایه]]+ج_ح_آذر22[[#This Row],[اضافه کاری]]+ج_ح_آذر22[[#This Row],[حق مسکن]]+ج_ح_آذر22[[#This Row],[حق اولاد]]+ج_ح_آذر22[[#This Row],[حق و خواروبار]],"")</f>
        <v/>
      </c>
      <c r="P316"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16" s="46" t="str">
        <f>IFERROR(ج_ح_آذر22[[#This Row],[حقوق پایه]]+ج_ح_آذر22[[#This Row],[اضافه کاری]]-(2/7)*ج_ح_آذر22[[#This Row],[بیمه پرداختنی]],"")</f>
        <v/>
      </c>
      <c r="R316" s="45"/>
      <c r="S316" s="45"/>
      <c r="T316" s="46" t="str">
        <f>IFERROR(ج_ح_آذر22[[#This Row],[جمع ح و م م بیمه ]]*7%,"")</f>
        <v/>
      </c>
      <c r="U316"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16" s="46" t="str">
        <f>IFERROR(ج_ح_آذر22[[#This Row],[وام]]+ج_ح_آذر22[[#This Row],[مساعده]]+ج_ح_آذر22[[#This Row],[بیمه پرداختنی]]+ج_ح_آذر22[[#This Row],[مالیات پرداختنی]],"")</f>
        <v/>
      </c>
      <c r="W316" s="46" t="str">
        <f>IFERROR(ج_ح_آذر22[[#This Row],[جمع ح و م]]-ج_ح_آذر22[[#This Row],[جمع کسورات]],"")</f>
        <v/>
      </c>
    </row>
    <row r="317" spans="2:23" s="41" customFormat="1" ht="32.1" customHeight="1">
      <c r="B317" s="41">
        <f t="shared" si="7"/>
        <v>9</v>
      </c>
      <c r="C317" s="42" t="str">
        <f>IF(ج_ح_آذر22[[#This Row],[نام]]&lt;&gt;"",ROW()-303+1,"")</f>
        <v/>
      </c>
      <c r="D317" s="43"/>
      <c r="E317" s="43"/>
      <c r="F317" s="44"/>
      <c r="G317" s="45"/>
      <c r="H317" s="46" t="str">
        <f>IF(ج_ح_آذر22[[#This Row],[کارکرد]]*ج_ح_آذر22[[#This Row],[دستمزد روزانه ]]=0,"",ج_ح_آذر22[[#This Row],[کارکرد]]*ج_ح_آذر22[[#This Row],[دستمزد روزانه ]])</f>
        <v/>
      </c>
      <c r="I317" s="47"/>
      <c r="J317" s="48">
        <f>(ج_ح_آذر22[[#This Row],[دستمزد روزانه ]]/7.33)*1.4*ج_ح_آذر22[[#This Row],[مدت اضافه کاری ]]</f>
        <v>0</v>
      </c>
      <c r="K317" s="46" t="str">
        <f>IF(ج_ح_آذر22[[#This Row],[کارکرد]]="","",ج_ح_آذر22[[#This Row],[کارکرد]]*حق_مسکن/30)</f>
        <v/>
      </c>
      <c r="L317" s="49"/>
      <c r="M317" s="46" t="str">
        <f>IF(ج_ح_آذر22[[#This Row],[تعداد فرزندان]]="","",ج_ح_آذر22[[#This Row],[کارکرد]]/30*3*ج_ح_آذر22[[#This Row],[تعداد فرزندان]]*حداقل_حقوق_پایه_روزانه)</f>
        <v/>
      </c>
      <c r="N317" s="46" t="str">
        <f>IF(ج_ح_آذر22[[#This Row],[کارکرد]]="","",ج_ح_آذر22[[#This Row],[کارکرد]]*حق_خواربار/30)</f>
        <v/>
      </c>
      <c r="O317" s="46" t="str">
        <f>IFERROR(ج_ح_آذر22[[#This Row],[حقوق پایه]]+ج_ح_آذر22[[#This Row],[اضافه کاری]]+ج_ح_آذر22[[#This Row],[حق مسکن]]+ج_ح_آذر22[[#This Row],[حق اولاد]]+ج_ح_آذر22[[#This Row],[حق و خواروبار]],"")</f>
        <v/>
      </c>
      <c r="P317"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17" s="46" t="str">
        <f>IFERROR(ج_ح_آذر22[[#This Row],[حقوق پایه]]+ج_ح_آذر22[[#This Row],[اضافه کاری]]-(2/7)*ج_ح_آذر22[[#This Row],[بیمه پرداختنی]],"")</f>
        <v/>
      </c>
      <c r="R317" s="45"/>
      <c r="S317" s="45"/>
      <c r="T317" s="46" t="str">
        <f>IFERROR(ج_ح_آذر22[[#This Row],[جمع ح و م م بیمه ]]*7%,"")</f>
        <v/>
      </c>
      <c r="U317"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17" s="46" t="str">
        <f>IFERROR(ج_ح_آذر22[[#This Row],[وام]]+ج_ح_آذر22[[#This Row],[مساعده]]+ج_ح_آذر22[[#This Row],[بیمه پرداختنی]]+ج_ح_آذر22[[#This Row],[مالیات پرداختنی]],"")</f>
        <v/>
      </c>
      <c r="W317" s="46" t="str">
        <f>IFERROR(ج_ح_آذر22[[#This Row],[جمع ح و م]]-ج_ح_آذر22[[#This Row],[جمع کسورات]],"")</f>
        <v/>
      </c>
    </row>
    <row r="318" spans="2:23" s="41" customFormat="1" ht="32.1" customHeight="1">
      <c r="B318" s="41">
        <f t="shared" si="7"/>
        <v>9</v>
      </c>
      <c r="C318" s="42" t="str">
        <f>IF(ج_ح_آذر22[[#This Row],[نام]]&lt;&gt;"",ROW()-303+1,"")</f>
        <v/>
      </c>
      <c r="D318" s="43"/>
      <c r="E318" s="43"/>
      <c r="F318" s="44"/>
      <c r="G318" s="45"/>
      <c r="H318" s="46" t="str">
        <f>IF(ج_ح_آذر22[[#This Row],[کارکرد]]*ج_ح_آذر22[[#This Row],[دستمزد روزانه ]]=0,"",ج_ح_آذر22[[#This Row],[کارکرد]]*ج_ح_آذر22[[#This Row],[دستمزد روزانه ]])</f>
        <v/>
      </c>
      <c r="I318" s="47"/>
      <c r="J318" s="48">
        <f>(ج_ح_آذر22[[#This Row],[دستمزد روزانه ]]/7.33)*1.4*ج_ح_آذر22[[#This Row],[مدت اضافه کاری ]]</f>
        <v>0</v>
      </c>
      <c r="K318" s="46" t="str">
        <f>IF(ج_ح_آذر22[[#This Row],[کارکرد]]="","",ج_ح_آذر22[[#This Row],[کارکرد]]*حق_مسکن/30)</f>
        <v/>
      </c>
      <c r="L318" s="49"/>
      <c r="M318" s="46" t="str">
        <f>IF(ج_ح_آذر22[[#This Row],[تعداد فرزندان]]="","",ج_ح_آذر22[[#This Row],[کارکرد]]/30*3*ج_ح_آذر22[[#This Row],[تعداد فرزندان]]*حداقل_حقوق_پایه_روزانه)</f>
        <v/>
      </c>
      <c r="N318" s="46" t="str">
        <f>IF(ج_ح_آذر22[[#This Row],[کارکرد]]="","",ج_ح_آذر22[[#This Row],[کارکرد]]*حق_خواربار/30)</f>
        <v/>
      </c>
      <c r="O318" s="46" t="str">
        <f>IFERROR(ج_ح_آذر22[[#This Row],[حقوق پایه]]+ج_ح_آذر22[[#This Row],[اضافه کاری]]+ج_ح_آذر22[[#This Row],[حق مسکن]]+ج_ح_آذر22[[#This Row],[حق اولاد]]+ج_ح_آذر22[[#This Row],[حق و خواروبار]],"")</f>
        <v/>
      </c>
      <c r="P318"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18" s="46" t="str">
        <f>IFERROR(ج_ح_آذر22[[#This Row],[حقوق پایه]]+ج_ح_آذر22[[#This Row],[اضافه کاری]]-(2/7)*ج_ح_آذر22[[#This Row],[بیمه پرداختنی]],"")</f>
        <v/>
      </c>
      <c r="R318" s="45"/>
      <c r="S318" s="45"/>
      <c r="T318" s="46" t="str">
        <f>IFERROR(ج_ح_آذر22[[#This Row],[جمع ح و م م بیمه ]]*7%,"")</f>
        <v/>
      </c>
      <c r="U318"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18" s="46" t="str">
        <f>IFERROR(ج_ح_آذر22[[#This Row],[وام]]+ج_ح_آذر22[[#This Row],[مساعده]]+ج_ح_آذر22[[#This Row],[بیمه پرداختنی]]+ج_ح_آذر22[[#This Row],[مالیات پرداختنی]],"")</f>
        <v/>
      </c>
      <c r="W318" s="46" t="str">
        <f>IFERROR(ج_ح_آذر22[[#This Row],[جمع ح و م]]-ج_ح_آذر22[[#This Row],[جمع کسورات]],"")</f>
        <v/>
      </c>
    </row>
    <row r="319" spans="2:23" s="41" customFormat="1" ht="32.1" customHeight="1">
      <c r="B319" s="41">
        <f t="shared" si="7"/>
        <v>9</v>
      </c>
      <c r="C319" s="42" t="str">
        <f>IF(ج_ح_آذر22[[#This Row],[نام]]&lt;&gt;"",ROW()-303+1,"")</f>
        <v/>
      </c>
      <c r="D319" s="43"/>
      <c r="E319" s="43"/>
      <c r="F319" s="44"/>
      <c r="G319" s="45"/>
      <c r="H319" s="46" t="str">
        <f>IF(ج_ح_آذر22[[#This Row],[کارکرد]]*ج_ح_آذر22[[#This Row],[دستمزد روزانه ]]=0,"",ج_ح_آذر22[[#This Row],[کارکرد]]*ج_ح_آذر22[[#This Row],[دستمزد روزانه ]])</f>
        <v/>
      </c>
      <c r="I319" s="47"/>
      <c r="J319" s="48">
        <f>(ج_ح_آذر22[[#This Row],[دستمزد روزانه ]]/7.33)*1.4*ج_ح_آذر22[[#This Row],[مدت اضافه کاری ]]</f>
        <v>0</v>
      </c>
      <c r="K319" s="46" t="str">
        <f>IF(ج_ح_آذر22[[#This Row],[کارکرد]]="","",ج_ح_آذر22[[#This Row],[کارکرد]]*حق_مسکن/30)</f>
        <v/>
      </c>
      <c r="L319" s="49"/>
      <c r="M319" s="46" t="str">
        <f>IF(ج_ح_آذر22[[#This Row],[تعداد فرزندان]]="","",ج_ح_آذر22[[#This Row],[کارکرد]]/30*3*ج_ح_آذر22[[#This Row],[تعداد فرزندان]]*حداقل_حقوق_پایه_روزانه)</f>
        <v/>
      </c>
      <c r="N319" s="46" t="str">
        <f>IF(ج_ح_آذر22[[#This Row],[کارکرد]]="","",ج_ح_آذر22[[#This Row],[کارکرد]]*حق_خواربار/30)</f>
        <v/>
      </c>
      <c r="O319" s="46" t="str">
        <f>IFERROR(ج_ح_آذر22[[#This Row],[حقوق پایه]]+ج_ح_آذر22[[#This Row],[اضافه کاری]]+ج_ح_آذر22[[#This Row],[حق مسکن]]+ج_ح_آذر22[[#This Row],[حق اولاد]]+ج_ح_آذر22[[#This Row],[حق و خواروبار]],"")</f>
        <v/>
      </c>
      <c r="P319"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19" s="46" t="str">
        <f>IFERROR(ج_ح_آذر22[[#This Row],[حقوق پایه]]+ج_ح_آذر22[[#This Row],[اضافه کاری]]-(2/7)*ج_ح_آذر22[[#This Row],[بیمه پرداختنی]],"")</f>
        <v/>
      </c>
      <c r="R319" s="45"/>
      <c r="S319" s="45"/>
      <c r="T319" s="46" t="str">
        <f>IFERROR(ج_ح_آذر22[[#This Row],[جمع ح و م م بیمه ]]*7%,"")</f>
        <v/>
      </c>
      <c r="U319"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19" s="46" t="str">
        <f>IFERROR(ج_ح_آذر22[[#This Row],[وام]]+ج_ح_آذر22[[#This Row],[مساعده]]+ج_ح_آذر22[[#This Row],[بیمه پرداختنی]]+ج_ح_آذر22[[#This Row],[مالیات پرداختنی]],"")</f>
        <v/>
      </c>
      <c r="W319" s="46" t="str">
        <f>IFERROR(ج_ح_آذر22[[#This Row],[جمع ح و م]]-ج_ح_آذر22[[#This Row],[جمع کسورات]],"")</f>
        <v/>
      </c>
    </row>
    <row r="320" spans="2:23" s="41" customFormat="1" ht="32.1" customHeight="1">
      <c r="B320" s="41">
        <f t="shared" si="7"/>
        <v>9</v>
      </c>
      <c r="C320" s="42" t="str">
        <f>IF(ج_ح_آذر22[[#This Row],[نام]]&lt;&gt;"",ROW()-303+1,"")</f>
        <v/>
      </c>
      <c r="D320" s="43"/>
      <c r="E320" s="43"/>
      <c r="F320" s="44"/>
      <c r="G320" s="45"/>
      <c r="H320" s="46" t="str">
        <f>IF(ج_ح_آذر22[[#This Row],[کارکرد]]*ج_ح_آذر22[[#This Row],[دستمزد روزانه ]]=0,"",ج_ح_آذر22[[#This Row],[کارکرد]]*ج_ح_آذر22[[#This Row],[دستمزد روزانه ]])</f>
        <v/>
      </c>
      <c r="I320" s="47"/>
      <c r="J320" s="48">
        <f>(ج_ح_آذر22[[#This Row],[دستمزد روزانه ]]/7.33)*1.4*ج_ح_آذر22[[#This Row],[مدت اضافه کاری ]]</f>
        <v>0</v>
      </c>
      <c r="K320" s="46" t="str">
        <f>IF(ج_ح_آذر22[[#This Row],[کارکرد]]="","",ج_ح_آذر22[[#This Row],[کارکرد]]*حق_مسکن/30)</f>
        <v/>
      </c>
      <c r="L320" s="49"/>
      <c r="M320" s="46" t="str">
        <f>IF(ج_ح_آذر22[[#This Row],[تعداد فرزندان]]="","",ج_ح_آذر22[[#This Row],[کارکرد]]/30*3*ج_ح_آذر22[[#This Row],[تعداد فرزندان]]*حداقل_حقوق_پایه_روزانه)</f>
        <v/>
      </c>
      <c r="N320" s="46" t="str">
        <f>IF(ج_ح_آذر22[[#This Row],[کارکرد]]="","",ج_ح_آذر22[[#This Row],[کارکرد]]*حق_خواربار/30)</f>
        <v/>
      </c>
      <c r="O320" s="46" t="str">
        <f>IFERROR(ج_ح_آذر22[[#This Row],[حقوق پایه]]+ج_ح_آذر22[[#This Row],[اضافه کاری]]+ج_ح_آذر22[[#This Row],[حق مسکن]]+ج_ح_آذر22[[#This Row],[حق اولاد]]+ج_ح_آذر22[[#This Row],[حق و خواروبار]],"")</f>
        <v/>
      </c>
      <c r="P320"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20" s="46" t="str">
        <f>IFERROR(ج_ح_آذر22[[#This Row],[حقوق پایه]]+ج_ح_آذر22[[#This Row],[اضافه کاری]]-(2/7)*ج_ح_آذر22[[#This Row],[بیمه پرداختنی]],"")</f>
        <v/>
      </c>
      <c r="R320" s="45"/>
      <c r="S320" s="45"/>
      <c r="T320" s="46" t="str">
        <f>IFERROR(ج_ح_آذر22[[#This Row],[جمع ح و م م بیمه ]]*7%,"")</f>
        <v/>
      </c>
      <c r="U320"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20" s="46" t="str">
        <f>IFERROR(ج_ح_آذر22[[#This Row],[وام]]+ج_ح_آذر22[[#This Row],[مساعده]]+ج_ح_آذر22[[#This Row],[بیمه پرداختنی]]+ج_ح_آذر22[[#This Row],[مالیات پرداختنی]],"")</f>
        <v/>
      </c>
      <c r="W320" s="46" t="str">
        <f>IFERROR(ج_ح_آذر22[[#This Row],[جمع ح و م]]-ج_ح_آذر22[[#This Row],[جمع کسورات]],"")</f>
        <v/>
      </c>
    </row>
    <row r="321" spans="1:23" s="41" customFormat="1" ht="32.1" customHeight="1">
      <c r="B321" s="41">
        <f t="shared" si="7"/>
        <v>9</v>
      </c>
      <c r="C321" s="42" t="str">
        <f>IF(ج_ح_آذر22[[#This Row],[نام]]&lt;&gt;"",ROW()-303+1,"")</f>
        <v/>
      </c>
      <c r="D321" s="43"/>
      <c r="E321" s="43"/>
      <c r="F321" s="44"/>
      <c r="G321" s="45"/>
      <c r="H321" s="46" t="str">
        <f>IF(ج_ح_آذر22[[#This Row],[کارکرد]]*ج_ح_آذر22[[#This Row],[دستمزد روزانه ]]=0,"",ج_ح_آذر22[[#This Row],[کارکرد]]*ج_ح_آذر22[[#This Row],[دستمزد روزانه ]])</f>
        <v/>
      </c>
      <c r="I321" s="47"/>
      <c r="J321" s="48">
        <f>(ج_ح_آذر22[[#This Row],[دستمزد روزانه ]]/7.33)*1.4*ج_ح_آذر22[[#This Row],[مدت اضافه کاری ]]</f>
        <v>0</v>
      </c>
      <c r="K321" s="46" t="str">
        <f>IF(ج_ح_آذر22[[#This Row],[کارکرد]]="","",ج_ح_آذر22[[#This Row],[کارکرد]]*حق_مسکن/30)</f>
        <v/>
      </c>
      <c r="L321" s="49"/>
      <c r="M321" s="46" t="str">
        <f>IF(ج_ح_آذر22[[#This Row],[تعداد فرزندان]]="","",ج_ح_آذر22[[#This Row],[کارکرد]]/30*3*ج_ح_آذر22[[#This Row],[تعداد فرزندان]]*حداقل_حقوق_پایه_روزانه)</f>
        <v/>
      </c>
      <c r="N321" s="46" t="str">
        <f>IF(ج_ح_آذر22[[#This Row],[کارکرد]]="","",ج_ح_آذر22[[#This Row],[کارکرد]]*حق_خواربار/30)</f>
        <v/>
      </c>
      <c r="O321" s="46" t="str">
        <f>IFERROR(ج_ح_آذر22[[#This Row],[حقوق پایه]]+ج_ح_آذر22[[#This Row],[اضافه کاری]]+ج_ح_آذر22[[#This Row],[حق مسکن]]+ج_ح_آذر22[[#This Row],[حق اولاد]]+ج_ح_آذر22[[#This Row],[حق و خواروبار]],"")</f>
        <v/>
      </c>
      <c r="P321"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21" s="46" t="str">
        <f>IFERROR(ج_ح_آذر22[[#This Row],[حقوق پایه]]+ج_ح_آذر22[[#This Row],[اضافه کاری]]-(2/7)*ج_ح_آذر22[[#This Row],[بیمه پرداختنی]],"")</f>
        <v/>
      </c>
      <c r="R321" s="45"/>
      <c r="S321" s="45"/>
      <c r="T321" s="46" t="str">
        <f>IFERROR(ج_ح_آذر22[[#This Row],[جمع ح و م م بیمه ]]*7%,"")</f>
        <v/>
      </c>
      <c r="U321"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21" s="46" t="str">
        <f>IFERROR(ج_ح_آذر22[[#This Row],[وام]]+ج_ح_آذر22[[#This Row],[مساعده]]+ج_ح_آذر22[[#This Row],[بیمه پرداختنی]]+ج_ح_آذر22[[#This Row],[مالیات پرداختنی]],"")</f>
        <v/>
      </c>
      <c r="W321" s="46" t="str">
        <f>IFERROR(ج_ح_آذر22[[#This Row],[جمع ح و م]]-ج_ح_آذر22[[#This Row],[جمع کسورات]],"")</f>
        <v/>
      </c>
    </row>
    <row r="322" spans="1:23" s="41" customFormat="1" ht="32.1" customHeight="1">
      <c r="B322" s="41">
        <f t="shared" si="7"/>
        <v>9</v>
      </c>
      <c r="C322" s="42" t="str">
        <f>IF(ج_ح_آذر22[[#This Row],[نام]]&lt;&gt;"",ROW()-303+1,"")</f>
        <v/>
      </c>
      <c r="D322" s="43"/>
      <c r="E322" s="43"/>
      <c r="F322" s="44"/>
      <c r="G322" s="45"/>
      <c r="H322" s="46" t="str">
        <f>IF(ج_ح_آذر22[[#This Row],[کارکرد]]*ج_ح_آذر22[[#This Row],[دستمزد روزانه ]]=0,"",ج_ح_آذر22[[#This Row],[کارکرد]]*ج_ح_آذر22[[#This Row],[دستمزد روزانه ]])</f>
        <v/>
      </c>
      <c r="I322" s="47"/>
      <c r="J322" s="48">
        <f>(ج_ح_آذر22[[#This Row],[دستمزد روزانه ]]/7.33)*1.4*ج_ح_آذر22[[#This Row],[مدت اضافه کاری ]]</f>
        <v>0</v>
      </c>
      <c r="K322" s="46" t="str">
        <f>IF(ج_ح_آذر22[[#This Row],[کارکرد]]="","",ج_ح_آذر22[[#This Row],[کارکرد]]*حق_مسکن/30)</f>
        <v/>
      </c>
      <c r="L322" s="49"/>
      <c r="M322" s="46" t="str">
        <f>IF(ج_ح_آذر22[[#This Row],[تعداد فرزندان]]="","",ج_ح_آذر22[[#This Row],[کارکرد]]/30*3*ج_ح_آذر22[[#This Row],[تعداد فرزندان]]*حداقل_حقوق_پایه_روزانه)</f>
        <v/>
      </c>
      <c r="N322" s="46" t="str">
        <f>IF(ج_ح_آذر22[[#This Row],[کارکرد]]="","",ج_ح_آذر22[[#This Row],[کارکرد]]*حق_خواربار/30)</f>
        <v/>
      </c>
      <c r="O322" s="46" t="str">
        <f>IFERROR(ج_ح_آذر22[[#This Row],[حقوق پایه]]+ج_ح_آذر22[[#This Row],[اضافه کاری]]+ج_ح_آذر22[[#This Row],[حق مسکن]]+ج_ح_آذر22[[#This Row],[حق اولاد]]+ج_ح_آذر22[[#This Row],[حق و خواروبار]],"")</f>
        <v/>
      </c>
      <c r="P322"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22" s="46" t="str">
        <f>IFERROR(ج_ح_آذر22[[#This Row],[حقوق پایه]]+ج_ح_آذر22[[#This Row],[اضافه کاری]]-(2/7)*ج_ح_آذر22[[#This Row],[بیمه پرداختنی]],"")</f>
        <v/>
      </c>
      <c r="R322" s="45"/>
      <c r="S322" s="45"/>
      <c r="T322" s="46" t="str">
        <f>IFERROR(ج_ح_آذر22[[#This Row],[جمع ح و م م بیمه ]]*7%,"")</f>
        <v/>
      </c>
      <c r="U322"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22" s="46" t="str">
        <f>IFERROR(ج_ح_آذر22[[#This Row],[وام]]+ج_ح_آذر22[[#This Row],[مساعده]]+ج_ح_آذر22[[#This Row],[بیمه پرداختنی]]+ج_ح_آذر22[[#This Row],[مالیات پرداختنی]],"")</f>
        <v/>
      </c>
      <c r="W322" s="46" t="str">
        <f>IFERROR(ج_ح_آذر22[[#This Row],[جمع ح و م]]-ج_ح_آذر22[[#This Row],[جمع کسورات]],"")</f>
        <v/>
      </c>
    </row>
    <row r="323" spans="1:23" s="41" customFormat="1" ht="32.1" customHeight="1">
      <c r="B323" s="41">
        <f t="shared" si="7"/>
        <v>9</v>
      </c>
      <c r="C323" s="42" t="str">
        <f>IF(ج_ح_آذر22[[#This Row],[نام]]&lt;&gt;"",ROW()-303+1,"")</f>
        <v/>
      </c>
      <c r="D323" s="43"/>
      <c r="E323" s="43"/>
      <c r="F323" s="44"/>
      <c r="G323" s="45"/>
      <c r="H323" s="46" t="str">
        <f>IF(ج_ح_آذر22[[#This Row],[کارکرد]]*ج_ح_آذر22[[#This Row],[دستمزد روزانه ]]=0,"",ج_ح_آذر22[[#This Row],[کارکرد]]*ج_ح_آذر22[[#This Row],[دستمزد روزانه ]])</f>
        <v/>
      </c>
      <c r="I323" s="47"/>
      <c r="J323" s="48">
        <f>(ج_ح_آذر22[[#This Row],[دستمزد روزانه ]]/7.33)*1.4*ج_ح_آذر22[[#This Row],[مدت اضافه کاری ]]</f>
        <v>0</v>
      </c>
      <c r="K323" s="46" t="str">
        <f>IF(ج_ح_آذر22[[#This Row],[کارکرد]]="","",ج_ح_آذر22[[#This Row],[کارکرد]]*حق_مسکن/30)</f>
        <v/>
      </c>
      <c r="L323" s="49"/>
      <c r="M323" s="46" t="str">
        <f>IF(ج_ح_آذر22[[#This Row],[تعداد فرزندان]]="","",ج_ح_آذر22[[#This Row],[کارکرد]]/30*3*ج_ح_آذر22[[#This Row],[تعداد فرزندان]]*حداقل_حقوق_پایه_روزانه)</f>
        <v/>
      </c>
      <c r="N323" s="46" t="str">
        <f>IF(ج_ح_آذر22[[#This Row],[کارکرد]]="","",ج_ح_آذر22[[#This Row],[کارکرد]]*حق_خواربار/30)</f>
        <v/>
      </c>
      <c r="O323" s="46" t="str">
        <f>IFERROR(ج_ح_آذر22[[#This Row],[حقوق پایه]]+ج_ح_آذر22[[#This Row],[اضافه کاری]]+ج_ح_آذر22[[#This Row],[حق مسکن]]+ج_ح_آذر22[[#This Row],[حق اولاد]]+ج_ح_آذر22[[#This Row],[حق و خواروبار]],"")</f>
        <v/>
      </c>
      <c r="P323"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23" s="46" t="str">
        <f>IFERROR(ج_ح_آذر22[[#This Row],[حقوق پایه]]+ج_ح_آذر22[[#This Row],[اضافه کاری]]-(2/7)*ج_ح_آذر22[[#This Row],[بیمه پرداختنی]],"")</f>
        <v/>
      </c>
      <c r="R323" s="45"/>
      <c r="S323" s="45"/>
      <c r="T323" s="46" t="str">
        <f>IFERROR(ج_ح_آذر22[[#This Row],[جمع ح و م م بیمه ]]*7%,"")</f>
        <v/>
      </c>
      <c r="U323"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23" s="46" t="str">
        <f>IFERROR(ج_ح_آذر22[[#This Row],[وام]]+ج_ح_آذر22[[#This Row],[مساعده]]+ج_ح_آذر22[[#This Row],[بیمه پرداختنی]]+ج_ح_آذر22[[#This Row],[مالیات پرداختنی]],"")</f>
        <v/>
      </c>
      <c r="W323" s="46" t="str">
        <f>IFERROR(ج_ح_آذر22[[#This Row],[جمع ح و م]]-ج_ح_آذر22[[#This Row],[جمع کسورات]],"")</f>
        <v/>
      </c>
    </row>
    <row r="324" spans="1:23" s="41" customFormat="1" ht="32.1" customHeight="1">
      <c r="B324" s="41">
        <f t="shared" si="7"/>
        <v>9</v>
      </c>
      <c r="C324" s="42" t="str">
        <f>IF(ج_ح_آذر22[[#This Row],[نام]]&lt;&gt;"",ROW()-303+1,"")</f>
        <v/>
      </c>
      <c r="D324" s="43"/>
      <c r="E324" s="43"/>
      <c r="F324" s="44"/>
      <c r="G324" s="45"/>
      <c r="H324" s="46" t="str">
        <f>IF(ج_ح_آذر22[[#This Row],[کارکرد]]*ج_ح_آذر22[[#This Row],[دستمزد روزانه ]]=0,"",ج_ح_آذر22[[#This Row],[کارکرد]]*ج_ح_آذر22[[#This Row],[دستمزد روزانه ]])</f>
        <v/>
      </c>
      <c r="I324" s="47"/>
      <c r="J324" s="48">
        <f>(ج_ح_آذر22[[#This Row],[دستمزد روزانه ]]/7.33)*1.4*ج_ح_آذر22[[#This Row],[مدت اضافه کاری ]]</f>
        <v>0</v>
      </c>
      <c r="K324" s="46" t="str">
        <f>IF(ج_ح_آذر22[[#This Row],[کارکرد]]="","",ج_ح_آذر22[[#This Row],[کارکرد]]*حق_مسکن/30)</f>
        <v/>
      </c>
      <c r="L324" s="49"/>
      <c r="M324" s="46" t="str">
        <f>IF(ج_ح_آذر22[[#This Row],[تعداد فرزندان]]="","",ج_ح_آذر22[[#This Row],[کارکرد]]/30*3*ج_ح_آذر22[[#This Row],[تعداد فرزندان]]*حداقل_حقوق_پایه_روزانه)</f>
        <v/>
      </c>
      <c r="N324" s="46" t="str">
        <f>IF(ج_ح_آذر22[[#This Row],[کارکرد]]="","",ج_ح_آذر22[[#This Row],[کارکرد]]*حق_خواربار/30)</f>
        <v/>
      </c>
      <c r="O324" s="46" t="str">
        <f>IFERROR(ج_ح_آذر22[[#This Row],[حقوق پایه]]+ج_ح_آذر22[[#This Row],[اضافه کاری]]+ج_ح_آذر22[[#This Row],[حق مسکن]]+ج_ح_آذر22[[#This Row],[حق اولاد]]+ج_ح_آذر22[[#This Row],[حق و خواروبار]],"")</f>
        <v/>
      </c>
      <c r="P324"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24" s="46" t="str">
        <f>IFERROR(ج_ح_آذر22[[#This Row],[حقوق پایه]]+ج_ح_آذر22[[#This Row],[اضافه کاری]]-(2/7)*ج_ح_آذر22[[#This Row],[بیمه پرداختنی]],"")</f>
        <v/>
      </c>
      <c r="R324" s="45"/>
      <c r="S324" s="45"/>
      <c r="T324" s="46" t="str">
        <f>IFERROR(ج_ح_آذر22[[#This Row],[جمع ح و م م بیمه ]]*7%,"")</f>
        <v/>
      </c>
      <c r="U324"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24" s="46" t="str">
        <f>IFERROR(ج_ح_آذر22[[#This Row],[وام]]+ج_ح_آذر22[[#This Row],[مساعده]]+ج_ح_آذر22[[#This Row],[بیمه پرداختنی]]+ج_ح_آذر22[[#This Row],[مالیات پرداختنی]],"")</f>
        <v/>
      </c>
      <c r="W324" s="46" t="str">
        <f>IFERROR(ج_ح_آذر22[[#This Row],[جمع ح و م]]-ج_ح_آذر22[[#This Row],[جمع کسورات]],"")</f>
        <v/>
      </c>
    </row>
    <row r="325" spans="1:23" s="41" customFormat="1" ht="32.1" customHeight="1">
      <c r="B325" s="41">
        <f t="shared" si="7"/>
        <v>9</v>
      </c>
      <c r="C325" s="42" t="str">
        <f>IF(ج_ح_آذر22[[#This Row],[نام]]&lt;&gt;"",ROW()-303+1,"")</f>
        <v/>
      </c>
      <c r="D325" s="43"/>
      <c r="E325" s="43"/>
      <c r="F325" s="44"/>
      <c r="G325" s="45"/>
      <c r="H325" s="46" t="str">
        <f>IF(ج_ح_آذر22[[#This Row],[کارکرد]]*ج_ح_آذر22[[#This Row],[دستمزد روزانه ]]=0,"",ج_ح_آذر22[[#This Row],[کارکرد]]*ج_ح_آذر22[[#This Row],[دستمزد روزانه ]])</f>
        <v/>
      </c>
      <c r="I325" s="47"/>
      <c r="J325" s="48">
        <f>(ج_ح_آذر22[[#This Row],[دستمزد روزانه ]]/7.33)*1.4*ج_ح_آذر22[[#This Row],[مدت اضافه کاری ]]</f>
        <v>0</v>
      </c>
      <c r="K325" s="46" t="str">
        <f>IF(ج_ح_آذر22[[#This Row],[کارکرد]]="","",ج_ح_آذر22[[#This Row],[کارکرد]]*حق_مسکن/30)</f>
        <v/>
      </c>
      <c r="L325" s="49"/>
      <c r="M325" s="46" t="str">
        <f>IF(ج_ح_آذر22[[#This Row],[تعداد فرزندان]]="","",ج_ح_آذر22[[#This Row],[کارکرد]]/30*3*ج_ح_آذر22[[#This Row],[تعداد فرزندان]]*حداقل_حقوق_پایه_روزانه)</f>
        <v/>
      </c>
      <c r="N325" s="46" t="str">
        <f>IF(ج_ح_آذر22[[#This Row],[کارکرد]]="","",ج_ح_آذر22[[#This Row],[کارکرد]]*حق_خواربار/30)</f>
        <v/>
      </c>
      <c r="O325" s="46" t="str">
        <f>IFERROR(ج_ح_آذر22[[#This Row],[حقوق پایه]]+ج_ح_آذر22[[#This Row],[اضافه کاری]]+ج_ح_آذر22[[#This Row],[حق مسکن]]+ج_ح_آذر22[[#This Row],[حق اولاد]]+ج_ح_آذر22[[#This Row],[حق و خواروبار]],"")</f>
        <v/>
      </c>
      <c r="P325"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25" s="46" t="str">
        <f>IFERROR(ج_ح_آذر22[[#This Row],[حقوق پایه]]+ج_ح_آذر22[[#This Row],[اضافه کاری]]-(2/7)*ج_ح_آذر22[[#This Row],[بیمه پرداختنی]],"")</f>
        <v/>
      </c>
      <c r="R325" s="45"/>
      <c r="S325" s="45"/>
      <c r="T325" s="46" t="str">
        <f>IFERROR(ج_ح_آذر22[[#This Row],[جمع ح و م م بیمه ]]*7%,"")</f>
        <v/>
      </c>
      <c r="U325"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25" s="46" t="str">
        <f>IFERROR(ج_ح_آذر22[[#This Row],[وام]]+ج_ح_آذر22[[#This Row],[مساعده]]+ج_ح_آذر22[[#This Row],[بیمه پرداختنی]]+ج_ح_آذر22[[#This Row],[مالیات پرداختنی]],"")</f>
        <v/>
      </c>
      <c r="W325" s="46" t="str">
        <f>IFERROR(ج_ح_آذر22[[#This Row],[جمع ح و م]]-ج_ح_آذر22[[#This Row],[جمع کسورات]],"")</f>
        <v/>
      </c>
    </row>
    <row r="326" spans="1:23" s="41" customFormat="1" ht="32.1" customHeight="1">
      <c r="B326" s="41">
        <f t="shared" si="7"/>
        <v>9</v>
      </c>
      <c r="C326" s="42" t="str">
        <f>IF(ج_ح_آذر22[[#This Row],[نام]]&lt;&gt;"",ROW()-303+1,"")</f>
        <v/>
      </c>
      <c r="D326" s="43"/>
      <c r="E326" s="43"/>
      <c r="F326" s="44"/>
      <c r="G326" s="45"/>
      <c r="H326" s="46" t="str">
        <f>IF(ج_ح_آذر22[[#This Row],[کارکرد]]*ج_ح_آذر22[[#This Row],[دستمزد روزانه ]]=0,"",ج_ح_آذر22[[#This Row],[کارکرد]]*ج_ح_آذر22[[#This Row],[دستمزد روزانه ]])</f>
        <v/>
      </c>
      <c r="I326" s="47"/>
      <c r="J326" s="48">
        <f>(ج_ح_آذر22[[#This Row],[دستمزد روزانه ]]/7.33)*1.4*ج_ح_آذر22[[#This Row],[مدت اضافه کاری ]]</f>
        <v>0</v>
      </c>
      <c r="K326" s="46" t="str">
        <f>IF(ج_ح_آذر22[[#This Row],[کارکرد]]="","",ج_ح_آذر22[[#This Row],[کارکرد]]*حق_مسکن/30)</f>
        <v/>
      </c>
      <c r="L326" s="49"/>
      <c r="M326" s="46" t="str">
        <f>IF(ج_ح_آذر22[[#This Row],[تعداد فرزندان]]="","",ج_ح_آذر22[[#This Row],[کارکرد]]/30*3*ج_ح_آذر22[[#This Row],[تعداد فرزندان]]*حداقل_حقوق_پایه_روزانه)</f>
        <v/>
      </c>
      <c r="N326" s="46" t="str">
        <f>IF(ج_ح_آذر22[[#This Row],[کارکرد]]="","",ج_ح_آذر22[[#This Row],[کارکرد]]*حق_خواربار/30)</f>
        <v/>
      </c>
      <c r="O326" s="46" t="str">
        <f>IFERROR(ج_ح_آذر22[[#This Row],[حقوق پایه]]+ج_ح_آذر22[[#This Row],[اضافه کاری]]+ج_ح_آذر22[[#This Row],[حق مسکن]]+ج_ح_آذر22[[#This Row],[حق اولاد]]+ج_ح_آذر22[[#This Row],[حق و خواروبار]],"")</f>
        <v/>
      </c>
      <c r="P326"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26" s="46" t="str">
        <f>IFERROR(ج_ح_آذر22[[#This Row],[حقوق پایه]]+ج_ح_آذر22[[#This Row],[اضافه کاری]]-(2/7)*ج_ح_آذر22[[#This Row],[بیمه پرداختنی]],"")</f>
        <v/>
      </c>
      <c r="R326" s="45"/>
      <c r="S326" s="45"/>
      <c r="T326" s="46" t="str">
        <f>IFERROR(ج_ح_آذر22[[#This Row],[جمع ح و م م بیمه ]]*7%,"")</f>
        <v/>
      </c>
      <c r="U326"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26" s="46" t="str">
        <f>IFERROR(ج_ح_آذر22[[#This Row],[وام]]+ج_ح_آذر22[[#This Row],[مساعده]]+ج_ح_آذر22[[#This Row],[بیمه پرداختنی]]+ج_ح_آذر22[[#This Row],[مالیات پرداختنی]],"")</f>
        <v/>
      </c>
      <c r="W326" s="46" t="str">
        <f>IFERROR(ج_ح_آذر22[[#This Row],[جمع ح و م]]-ج_ح_آذر22[[#This Row],[جمع کسورات]],"")</f>
        <v/>
      </c>
    </row>
    <row r="327" spans="1:23" s="41" customFormat="1" ht="32.1" customHeight="1">
      <c r="B327" s="41">
        <f t="shared" si="7"/>
        <v>9</v>
      </c>
      <c r="C327" s="42" t="str">
        <f>IF(ج_ح_آذر22[[#This Row],[نام]]&lt;&gt;"",ROW()-303+1,"")</f>
        <v/>
      </c>
      <c r="D327" s="43"/>
      <c r="E327" s="43"/>
      <c r="F327" s="44"/>
      <c r="G327" s="45"/>
      <c r="H327" s="46" t="str">
        <f>IF(ج_ح_آذر22[[#This Row],[کارکرد]]*ج_ح_آذر22[[#This Row],[دستمزد روزانه ]]=0,"",ج_ح_آذر22[[#This Row],[کارکرد]]*ج_ح_آذر22[[#This Row],[دستمزد روزانه ]])</f>
        <v/>
      </c>
      <c r="I327" s="47"/>
      <c r="J327" s="48">
        <f>(ج_ح_آذر22[[#This Row],[دستمزد روزانه ]]/7.33)*1.4*ج_ح_آذر22[[#This Row],[مدت اضافه کاری ]]</f>
        <v>0</v>
      </c>
      <c r="K327" s="46" t="str">
        <f>IF(ج_ح_آذر22[[#This Row],[کارکرد]]="","",ج_ح_آذر22[[#This Row],[کارکرد]]*حق_مسکن/30)</f>
        <v/>
      </c>
      <c r="L327" s="49"/>
      <c r="M327" s="46" t="str">
        <f>IF(ج_ح_آذر22[[#This Row],[تعداد فرزندان]]="","",ج_ح_آذر22[[#This Row],[کارکرد]]/30*3*ج_ح_آذر22[[#This Row],[تعداد فرزندان]]*حداقل_حقوق_پایه_روزانه)</f>
        <v/>
      </c>
      <c r="N327" s="46" t="str">
        <f>IF(ج_ح_آذر22[[#This Row],[کارکرد]]="","",ج_ح_آذر22[[#This Row],[کارکرد]]*حق_خواربار/30)</f>
        <v/>
      </c>
      <c r="O327" s="46" t="str">
        <f>IFERROR(ج_ح_آذر22[[#This Row],[حقوق پایه]]+ج_ح_آذر22[[#This Row],[اضافه کاری]]+ج_ح_آذر22[[#This Row],[حق مسکن]]+ج_ح_آذر22[[#This Row],[حق اولاد]]+ج_ح_آذر22[[#This Row],[حق و خواروبار]],"")</f>
        <v/>
      </c>
      <c r="P327"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27" s="46" t="str">
        <f>IFERROR(ج_ح_آذر22[[#This Row],[حقوق پایه]]+ج_ح_آذر22[[#This Row],[اضافه کاری]]-(2/7)*ج_ح_آذر22[[#This Row],[بیمه پرداختنی]],"")</f>
        <v/>
      </c>
      <c r="R327" s="45"/>
      <c r="S327" s="45"/>
      <c r="T327" s="46" t="str">
        <f>IFERROR(ج_ح_آذر22[[#This Row],[جمع ح و م م بیمه ]]*7%,"")</f>
        <v/>
      </c>
      <c r="U327"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27" s="46" t="str">
        <f>IFERROR(ج_ح_آذر22[[#This Row],[وام]]+ج_ح_آذر22[[#This Row],[مساعده]]+ج_ح_آذر22[[#This Row],[بیمه پرداختنی]]+ج_ح_آذر22[[#This Row],[مالیات پرداختنی]],"")</f>
        <v/>
      </c>
      <c r="W327" s="46" t="str">
        <f>IFERROR(ج_ح_آذر22[[#This Row],[جمع ح و م]]-ج_ح_آذر22[[#This Row],[جمع کسورات]],"")</f>
        <v/>
      </c>
    </row>
    <row r="328" spans="1:23" s="41" customFormat="1" ht="32.1" customHeight="1">
      <c r="B328" s="41">
        <f t="shared" si="7"/>
        <v>9</v>
      </c>
      <c r="C328" s="42" t="str">
        <f>IF(ج_ح_آذر22[[#This Row],[نام]]&lt;&gt;"",ROW()-303+1,"")</f>
        <v/>
      </c>
      <c r="D328" s="43"/>
      <c r="E328" s="43"/>
      <c r="F328" s="44"/>
      <c r="G328" s="45"/>
      <c r="H328" s="46" t="str">
        <f>IF(ج_ح_آذر22[[#This Row],[کارکرد]]*ج_ح_آذر22[[#This Row],[دستمزد روزانه ]]=0,"",ج_ح_آذر22[[#This Row],[کارکرد]]*ج_ح_آذر22[[#This Row],[دستمزد روزانه ]])</f>
        <v/>
      </c>
      <c r="I328" s="47"/>
      <c r="J328" s="48">
        <f>(ج_ح_آذر22[[#This Row],[دستمزد روزانه ]]/7.33)*1.4*ج_ح_آذر22[[#This Row],[مدت اضافه کاری ]]</f>
        <v>0</v>
      </c>
      <c r="K328" s="46" t="str">
        <f>IF(ج_ح_آذر22[[#This Row],[کارکرد]]="","",ج_ح_آذر22[[#This Row],[کارکرد]]*حق_مسکن/30)</f>
        <v/>
      </c>
      <c r="L328" s="49"/>
      <c r="M328" s="46" t="str">
        <f>IF(ج_ح_آذر22[[#This Row],[تعداد فرزندان]]="","",ج_ح_آذر22[[#This Row],[کارکرد]]/30*3*ج_ح_آذر22[[#This Row],[تعداد فرزندان]]*حداقل_حقوق_پایه_روزانه)</f>
        <v/>
      </c>
      <c r="N328" s="46" t="str">
        <f>IF(ج_ح_آذر22[[#This Row],[کارکرد]]="","",ج_ح_آذر22[[#This Row],[کارکرد]]*حق_خواربار/30)</f>
        <v/>
      </c>
      <c r="O328" s="46" t="str">
        <f>IFERROR(ج_ح_آذر22[[#This Row],[حقوق پایه]]+ج_ح_آذر22[[#This Row],[اضافه کاری]]+ج_ح_آذر22[[#This Row],[حق مسکن]]+ج_ح_آذر22[[#This Row],[حق اولاد]]+ج_ح_آذر22[[#This Row],[حق و خواروبار]],"")</f>
        <v/>
      </c>
      <c r="P328"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28" s="46" t="str">
        <f>IFERROR(ج_ح_آذر22[[#This Row],[حقوق پایه]]+ج_ح_آذر22[[#This Row],[اضافه کاری]]-(2/7)*ج_ح_آذر22[[#This Row],[بیمه پرداختنی]],"")</f>
        <v/>
      </c>
      <c r="R328" s="45"/>
      <c r="S328" s="45"/>
      <c r="T328" s="46" t="str">
        <f>IFERROR(ج_ح_آذر22[[#This Row],[جمع ح و م م بیمه ]]*7%,"")</f>
        <v/>
      </c>
      <c r="U328"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28" s="46" t="str">
        <f>IFERROR(ج_ح_آذر22[[#This Row],[وام]]+ج_ح_آذر22[[#This Row],[مساعده]]+ج_ح_آذر22[[#This Row],[بیمه پرداختنی]]+ج_ح_آذر22[[#This Row],[مالیات پرداختنی]],"")</f>
        <v/>
      </c>
      <c r="W328" s="46" t="str">
        <f>IFERROR(ج_ح_آذر22[[#This Row],[جمع ح و م]]-ج_ح_آذر22[[#This Row],[جمع کسورات]],"")</f>
        <v/>
      </c>
    </row>
    <row r="329" spans="1:23" s="41" customFormat="1" ht="32.1" customHeight="1">
      <c r="B329" s="41">
        <f t="shared" si="7"/>
        <v>9</v>
      </c>
      <c r="C329" s="42" t="str">
        <f>IF(ج_ح_آذر22[[#This Row],[نام]]&lt;&gt;"",ROW()-303+1,"")</f>
        <v/>
      </c>
      <c r="D329" s="43"/>
      <c r="E329" s="43"/>
      <c r="F329" s="44"/>
      <c r="G329" s="45"/>
      <c r="H329" s="46" t="str">
        <f>IF(ج_ح_آذر22[[#This Row],[کارکرد]]*ج_ح_آذر22[[#This Row],[دستمزد روزانه ]]=0,"",ج_ح_آذر22[[#This Row],[کارکرد]]*ج_ح_آذر22[[#This Row],[دستمزد روزانه ]])</f>
        <v/>
      </c>
      <c r="I329" s="47"/>
      <c r="J329" s="48">
        <f>(ج_ح_آذر22[[#This Row],[دستمزد روزانه ]]/7.33)*1.4*ج_ح_آذر22[[#This Row],[مدت اضافه کاری ]]</f>
        <v>0</v>
      </c>
      <c r="K329" s="46" t="str">
        <f>IF(ج_ح_آذر22[[#This Row],[کارکرد]]="","",ج_ح_آذر22[[#This Row],[کارکرد]]*حق_مسکن/30)</f>
        <v/>
      </c>
      <c r="L329" s="49"/>
      <c r="M329" s="46" t="str">
        <f>IF(ج_ح_آذر22[[#This Row],[تعداد فرزندان]]="","",ج_ح_آذر22[[#This Row],[کارکرد]]/30*3*ج_ح_آذر22[[#This Row],[تعداد فرزندان]]*حداقل_حقوق_پایه_روزانه)</f>
        <v/>
      </c>
      <c r="N329" s="46" t="str">
        <f>IF(ج_ح_آذر22[[#This Row],[کارکرد]]="","",ج_ح_آذر22[[#This Row],[کارکرد]]*حق_خواربار/30)</f>
        <v/>
      </c>
      <c r="O329" s="46" t="str">
        <f>IFERROR(ج_ح_آذر22[[#This Row],[حقوق پایه]]+ج_ح_آذر22[[#This Row],[اضافه کاری]]+ج_ح_آذر22[[#This Row],[حق مسکن]]+ج_ح_آذر22[[#This Row],[حق اولاد]]+ج_ح_آذر22[[#This Row],[حق و خواروبار]],"")</f>
        <v/>
      </c>
      <c r="P329"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29" s="46" t="str">
        <f>IFERROR(ج_ح_آذر22[[#This Row],[حقوق پایه]]+ج_ح_آذر22[[#This Row],[اضافه کاری]]-(2/7)*ج_ح_آذر22[[#This Row],[بیمه پرداختنی]],"")</f>
        <v/>
      </c>
      <c r="R329" s="45"/>
      <c r="S329" s="45"/>
      <c r="T329" s="46" t="str">
        <f>IFERROR(ج_ح_آذر22[[#This Row],[جمع ح و م م بیمه ]]*7%,"")</f>
        <v/>
      </c>
      <c r="U329"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29" s="46" t="str">
        <f>IFERROR(ج_ح_آذر22[[#This Row],[وام]]+ج_ح_آذر22[[#This Row],[مساعده]]+ج_ح_آذر22[[#This Row],[بیمه پرداختنی]]+ج_ح_آذر22[[#This Row],[مالیات پرداختنی]],"")</f>
        <v/>
      </c>
      <c r="W329" s="46" t="str">
        <f>IFERROR(ج_ح_آذر22[[#This Row],[جمع ح و م]]-ج_ح_آذر22[[#This Row],[جمع کسورات]],"")</f>
        <v/>
      </c>
    </row>
    <row r="330" spans="1:23" s="41" customFormat="1" ht="32.1" customHeight="1">
      <c r="B330" s="41">
        <f t="shared" si="7"/>
        <v>9</v>
      </c>
      <c r="C330" s="42" t="str">
        <f>IF(ج_ح_آذر22[[#This Row],[نام]]&lt;&gt;"",ROW()-303+1,"")</f>
        <v/>
      </c>
      <c r="D330" s="43"/>
      <c r="E330" s="43"/>
      <c r="F330" s="44"/>
      <c r="G330" s="45"/>
      <c r="H330" s="46" t="str">
        <f>IF(ج_ح_آذر22[[#This Row],[کارکرد]]*ج_ح_آذر22[[#This Row],[دستمزد روزانه ]]=0,"",ج_ح_آذر22[[#This Row],[کارکرد]]*ج_ح_آذر22[[#This Row],[دستمزد روزانه ]])</f>
        <v/>
      </c>
      <c r="I330" s="47"/>
      <c r="J330" s="48">
        <f>(ج_ح_آذر22[[#This Row],[دستمزد روزانه ]]/7.33)*1.4*ج_ح_آذر22[[#This Row],[مدت اضافه کاری ]]</f>
        <v>0</v>
      </c>
      <c r="K330" s="46" t="str">
        <f>IF(ج_ح_آذر22[[#This Row],[کارکرد]]="","",ج_ح_آذر22[[#This Row],[کارکرد]]*حق_مسکن/30)</f>
        <v/>
      </c>
      <c r="L330" s="49"/>
      <c r="M330" s="46" t="str">
        <f>IF(ج_ح_آذر22[[#This Row],[تعداد فرزندان]]="","",ج_ح_آذر22[[#This Row],[کارکرد]]/30*3*ج_ح_آذر22[[#This Row],[تعداد فرزندان]]*حداقل_حقوق_پایه_روزانه)</f>
        <v/>
      </c>
      <c r="N330" s="46" t="str">
        <f>IF(ج_ح_آذر22[[#This Row],[کارکرد]]="","",ج_ح_آذر22[[#This Row],[کارکرد]]*حق_خواربار/30)</f>
        <v/>
      </c>
      <c r="O330" s="46" t="str">
        <f>IFERROR(ج_ح_آذر22[[#This Row],[حقوق پایه]]+ج_ح_آذر22[[#This Row],[اضافه کاری]]+ج_ح_آذر22[[#This Row],[حق مسکن]]+ج_ح_آذر22[[#This Row],[حق اولاد]]+ج_ح_آذر22[[#This Row],[حق و خواروبار]],"")</f>
        <v/>
      </c>
      <c r="P330"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30" s="46" t="str">
        <f>IFERROR(ج_ح_آذر22[[#This Row],[حقوق پایه]]+ج_ح_آذر22[[#This Row],[اضافه کاری]]-(2/7)*ج_ح_آذر22[[#This Row],[بیمه پرداختنی]],"")</f>
        <v/>
      </c>
      <c r="R330" s="45"/>
      <c r="S330" s="45"/>
      <c r="T330" s="46" t="str">
        <f>IFERROR(ج_ح_آذر22[[#This Row],[جمع ح و م م بیمه ]]*7%,"")</f>
        <v/>
      </c>
      <c r="U330"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30" s="46" t="str">
        <f>IFERROR(ج_ح_آذر22[[#This Row],[وام]]+ج_ح_آذر22[[#This Row],[مساعده]]+ج_ح_آذر22[[#This Row],[بیمه پرداختنی]]+ج_ح_آذر22[[#This Row],[مالیات پرداختنی]],"")</f>
        <v/>
      </c>
      <c r="W330" s="46" t="str">
        <f>IFERROR(ج_ح_آذر22[[#This Row],[جمع ح و م]]-ج_ح_آذر22[[#This Row],[جمع کسورات]],"")</f>
        <v/>
      </c>
    </row>
    <row r="331" spans="1:23" s="41" customFormat="1" ht="32.1" customHeight="1">
      <c r="B331" s="41">
        <f t="shared" si="7"/>
        <v>9</v>
      </c>
      <c r="C331" s="42" t="str">
        <f>IF(ج_ح_آذر22[[#This Row],[نام]]&lt;&gt;"",ROW()-303+1,"")</f>
        <v/>
      </c>
      <c r="D331" s="43"/>
      <c r="E331" s="43"/>
      <c r="F331" s="44"/>
      <c r="G331" s="45"/>
      <c r="H331" s="46" t="str">
        <f>IF(ج_ح_آذر22[[#This Row],[کارکرد]]*ج_ح_آذر22[[#This Row],[دستمزد روزانه ]]=0,"",ج_ح_آذر22[[#This Row],[کارکرد]]*ج_ح_آذر22[[#This Row],[دستمزد روزانه ]])</f>
        <v/>
      </c>
      <c r="I331" s="47"/>
      <c r="J331" s="48">
        <f>(ج_ح_آذر22[[#This Row],[دستمزد روزانه ]]/7.33)*1.4*ج_ح_آذر22[[#This Row],[مدت اضافه کاری ]]</f>
        <v>0</v>
      </c>
      <c r="K331" s="46" t="str">
        <f>IF(ج_ح_آذر22[[#This Row],[کارکرد]]="","",ج_ح_آذر22[[#This Row],[کارکرد]]*حق_مسکن/30)</f>
        <v/>
      </c>
      <c r="L331" s="49"/>
      <c r="M331" s="46" t="str">
        <f>IF(ج_ح_آذر22[[#This Row],[تعداد فرزندان]]="","",ج_ح_آذر22[[#This Row],[کارکرد]]/30*3*ج_ح_آذر22[[#This Row],[تعداد فرزندان]]*حداقل_حقوق_پایه_روزانه)</f>
        <v/>
      </c>
      <c r="N331" s="46" t="str">
        <f>IF(ج_ح_آذر22[[#This Row],[کارکرد]]="","",ج_ح_آذر22[[#This Row],[کارکرد]]*حق_خواربار/30)</f>
        <v/>
      </c>
      <c r="O331" s="46" t="str">
        <f>IFERROR(ج_ح_آذر22[[#This Row],[حقوق پایه]]+ج_ح_آذر22[[#This Row],[اضافه کاری]]+ج_ح_آذر22[[#This Row],[حق مسکن]]+ج_ح_آذر22[[#This Row],[حق اولاد]]+ج_ح_آذر22[[#This Row],[حق و خواروبار]],"")</f>
        <v/>
      </c>
      <c r="P331"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31" s="46" t="str">
        <f>IFERROR(ج_ح_آذر22[[#This Row],[حقوق پایه]]+ج_ح_آذر22[[#This Row],[اضافه کاری]]-(2/7)*ج_ح_آذر22[[#This Row],[بیمه پرداختنی]],"")</f>
        <v/>
      </c>
      <c r="R331" s="45"/>
      <c r="S331" s="45"/>
      <c r="T331" s="46" t="str">
        <f>IFERROR(ج_ح_آذر22[[#This Row],[جمع ح و م م بیمه ]]*7%,"")</f>
        <v/>
      </c>
      <c r="U331"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31" s="46" t="str">
        <f>IFERROR(ج_ح_آذر22[[#This Row],[وام]]+ج_ح_آذر22[[#This Row],[مساعده]]+ج_ح_آذر22[[#This Row],[بیمه پرداختنی]]+ج_ح_آذر22[[#This Row],[مالیات پرداختنی]],"")</f>
        <v/>
      </c>
      <c r="W331" s="46" t="str">
        <f>IFERROR(ج_ح_آذر22[[#This Row],[جمع ح و م]]-ج_ح_آذر22[[#This Row],[جمع کسورات]],"")</f>
        <v/>
      </c>
    </row>
    <row r="332" spans="1:23" s="41" customFormat="1" ht="32.1" customHeight="1">
      <c r="B332" s="41">
        <f t="shared" si="7"/>
        <v>9</v>
      </c>
      <c r="C332" s="42" t="str">
        <f>IF(ج_ح_آذر22[[#This Row],[نام]]&lt;&gt;"",ROW()-303+1,"")</f>
        <v/>
      </c>
      <c r="D332" s="43"/>
      <c r="E332" s="43"/>
      <c r="F332" s="44"/>
      <c r="G332" s="45"/>
      <c r="H332" s="46" t="str">
        <f>IF(ج_ح_آذر22[[#This Row],[کارکرد]]*ج_ح_آذر22[[#This Row],[دستمزد روزانه ]]=0,"",ج_ح_آذر22[[#This Row],[کارکرد]]*ج_ح_آذر22[[#This Row],[دستمزد روزانه ]])</f>
        <v/>
      </c>
      <c r="I332" s="47"/>
      <c r="J332" s="48">
        <f>(ج_ح_آذر22[[#This Row],[دستمزد روزانه ]]/7.33)*1.4*ج_ح_آذر22[[#This Row],[مدت اضافه کاری ]]</f>
        <v>0</v>
      </c>
      <c r="K332" s="46" t="str">
        <f>IF(ج_ح_آذر22[[#This Row],[کارکرد]]="","",ج_ح_آذر22[[#This Row],[کارکرد]]*حق_مسکن/30)</f>
        <v/>
      </c>
      <c r="L332" s="49"/>
      <c r="M332" s="46" t="str">
        <f>IF(ج_ح_آذر22[[#This Row],[تعداد فرزندان]]="","",ج_ح_آذر22[[#This Row],[کارکرد]]/30*3*ج_ح_آذر22[[#This Row],[تعداد فرزندان]]*حداقل_حقوق_پایه_روزانه)</f>
        <v/>
      </c>
      <c r="N332" s="46" t="str">
        <f>IF(ج_ح_آذر22[[#This Row],[کارکرد]]="","",ج_ح_آذر22[[#This Row],[کارکرد]]*حق_خواربار/30)</f>
        <v/>
      </c>
      <c r="O332" s="46" t="str">
        <f>IFERROR(ج_ح_آذر22[[#This Row],[حقوق پایه]]+ج_ح_آذر22[[#This Row],[اضافه کاری]]+ج_ح_آذر22[[#This Row],[حق مسکن]]+ج_ح_آذر22[[#This Row],[حق اولاد]]+ج_ح_آذر22[[#This Row],[حق و خواروبار]],"")</f>
        <v/>
      </c>
      <c r="P332" s="46" t="str">
        <f>IFERROR(IF(ج_ح_آذر22[[#This Row],[حقوق پایه]]+ج_ح_آذر22[[#This Row],[اضافه کاری]]+ج_ح_آذر22[[#This Row],[حق مسکن]]+ج_ح_آذر22[[#This Row],[حق و خواروبار]]&gt;حداکثر_حقوق_مشمول_بیمه_ماهانه,حداکثر_حقوق_مشمول_بیمه_ماهانه,ج_ح_آذر22[[#This Row],[حقوق پایه]]+ج_ح_آذر22[[#This Row],[اضافه کاری]]+ج_ح_آذر22[[#This Row],[حق مسکن]]+ج_ح_آذر22[[#This Row],[حق و خواروبار]]),"")</f>
        <v/>
      </c>
      <c r="Q332" s="46" t="str">
        <f>IFERROR(ج_ح_آذر22[[#This Row],[حقوق پایه]]+ج_ح_آذر22[[#This Row],[اضافه کاری]]-(2/7)*ج_ح_آذر22[[#This Row],[بیمه پرداختنی]],"")</f>
        <v/>
      </c>
      <c r="R332" s="45"/>
      <c r="S332" s="45"/>
      <c r="T332" s="46" t="str">
        <f>IFERROR(ج_ح_آذر22[[#This Row],[جمع ح و م م بیمه ]]*7%,"")</f>
        <v/>
      </c>
      <c r="U332" s="50" t="str">
        <f>IFERROR(IF(ج_ح_آذر22[[#This Row],[جمع ح و م م مالیات]]&gt;=320000000,(ج_ح_آذر22[[#This Row],[جمع ح و م م مالیات]]-320000000)*35%+61000000,
IF(ج_ح_آذر22[[#This Row],[جمع ح و م م مالیات]]&gt;=240000000,(ج_ح_آذر22[[#This Row],[جمع ح و م م مالیات]]-240000000)*30%+37000000,
IF(ج_ح_آذر22[[#This Row],[جمع ح و م م مالیات]]&gt;=180000000,(ج_ح_آذر22[[#This Row],[جمع ح و م م مالیات]]-180000000)*25%+22000000,
IF(ج_ح_آذر22[[#This Row],[جمع ح و م م مالیات]]&gt;=120000000,(ج_ح_آذر22[[#This Row],[جمع ح و م م مالیات]]-120000000)*20%+10000000,
IF(ج_ح_آذر22[[#This Row],[جمع ح و م م مالیات]]&gt;=80000000,(ج_ح_آذر22[[#This Row],[جمع ح و م م مالیات]]-80000000)*15%+4000000,
IF(ج_ح_آذر22[[#This Row],[جمع ح و م م مالیات]]&gt;=40000000,(ج_ح_آذر22[[#This Row],[جمع ح و م م مالیات]]-40000000)*10%,0)))))),"")</f>
        <v/>
      </c>
      <c r="V332" s="46" t="str">
        <f>IFERROR(ج_ح_آذر22[[#This Row],[وام]]+ج_ح_آذر22[[#This Row],[مساعده]]+ج_ح_آذر22[[#This Row],[بیمه پرداختنی]]+ج_ح_آذر22[[#This Row],[مالیات پرداختنی]],"")</f>
        <v/>
      </c>
      <c r="W332" s="46" t="str">
        <f>IFERROR(ج_ح_آذر22[[#This Row],[جمع ح و م]]-ج_ح_آذر22[[#This Row],[جمع کسورات]],"")</f>
        <v/>
      </c>
    </row>
    <row r="333" spans="1:23" ht="32.1" customHeight="1">
      <c r="B333" s="32">
        <f t="shared" si="7"/>
        <v>9</v>
      </c>
      <c r="C333" s="51"/>
      <c r="D333" s="52"/>
      <c r="E333" s="52" t="s">
        <v>124</v>
      </c>
      <c r="F333" s="53">
        <f>SUBTOTAL(109,ج_ح_آذر22[کارکرد])</f>
        <v>30</v>
      </c>
      <c r="G333" s="54">
        <f>SUBTOTAL(109,ج_ح_آذر22[[دستمزد روزانه ]])</f>
        <v>1000000</v>
      </c>
      <c r="H333" s="54">
        <f>SUBTOTAL(109,ج_ح_آذر22[حقوق پایه])</f>
        <v>30000000</v>
      </c>
      <c r="I333" s="55">
        <f>SUBTOTAL(109,ج_ح_آذر22[[مدت اضافه کاری ]])</f>
        <v>7.33</v>
      </c>
      <c r="J333" s="56">
        <f>SUBTOTAL(109,ج_ح_آذر22[اضافه کاری])</f>
        <v>1400000</v>
      </c>
      <c r="K333" s="54">
        <f>SUBTOTAL(109,ج_ح_آذر22[حق مسکن])</f>
        <v>0</v>
      </c>
      <c r="L333" s="57">
        <f>SUBTOTAL(109,ج_ح_آذر22[تعداد فرزندان])</f>
        <v>1</v>
      </c>
      <c r="M333" s="54">
        <f>SUBTOTAL(109,ج_ح_آذر22[حق اولاد])</f>
        <v>0</v>
      </c>
      <c r="N333" s="54">
        <f>SUBTOTAL(109,ج_ح_آذر22[حق و خواروبار])</f>
        <v>0</v>
      </c>
      <c r="O333" s="54">
        <f>SUBTOTAL(109,ج_ح_آذر22[جمع ح و م])</f>
        <v>31400000</v>
      </c>
      <c r="P333" s="54">
        <f>SUBTOTAL(109,ج_ح_آذر22[[جمع ح و م م بیمه ]])</f>
        <v>0</v>
      </c>
      <c r="Q333" s="54">
        <f>SUBTOTAL(109,ج_ح_آذر22[جمع ح و م م مالیات])</f>
        <v>0</v>
      </c>
      <c r="R333" s="54">
        <f>SUBTOTAL(109,ج_ح_آذر22[وام])</f>
        <v>0</v>
      </c>
      <c r="S333" s="54">
        <f>SUBTOTAL(109,ج_ح_آذر22[مساعده])</f>
        <v>0</v>
      </c>
      <c r="T333" s="54">
        <f>SUBTOTAL(109,ج_ح_آذر22[بیمه پرداختنی])</f>
        <v>0</v>
      </c>
      <c r="U333" s="54">
        <f>SUBTOTAL(109,ج_ح_آذر22[مالیات پرداختنی])</f>
        <v>0</v>
      </c>
      <c r="V333" s="54">
        <f>SUBTOTAL(109,ج_ح_آذر22[جمع کسورات])</f>
        <v>0</v>
      </c>
      <c r="W333" s="54">
        <f>SUBTOTAL(109,ج_ح_آذر22[خالص قابل پرداخت])</f>
        <v>0</v>
      </c>
    </row>
    <row r="334" spans="1:23" ht="8.1" customHeight="1"/>
    <row r="335" spans="1:23" s="33" customFormat="1" ht="39.950000000000003" customHeight="1">
      <c r="A335" s="34"/>
      <c r="B335" s="34"/>
      <c r="C335" s="107" t="s">
        <v>94</v>
      </c>
      <c r="D335" s="107"/>
      <c r="E335" s="107"/>
      <c r="F335" s="107"/>
      <c r="G335" s="107"/>
      <c r="H335" s="107"/>
      <c r="I335" s="107"/>
      <c r="J335" s="107"/>
      <c r="K335" s="107"/>
      <c r="L335" s="107"/>
      <c r="M335" s="107"/>
      <c r="N335" s="107"/>
      <c r="O335" s="107"/>
      <c r="P335" s="107"/>
      <c r="Q335" s="107"/>
      <c r="R335" s="107"/>
      <c r="S335" s="107"/>
      <c r="T335" s="107"/>
      <c r="U335" s="107"/>
      <c r="V335" s="107"/>
      <c r="W335" s="107"/>
    </row>
    <row r="336" spans="1:23" s="33" customFormat="1" ht="50.1" customHeight="1">
      <c r="C336" s="108" t="s">
        <v>134</v>
      </c>
      <c r="D336" s="108"/>
      <c r="E336" s="108"/>
      <c r="F336" s="108"/>
      <c r="G336" s="108"/>
      <c r="H336" s="108"/>
      <c r="I336" s="108"/>
      <c r="J336" s="108"/>
      <c r="K336" s="108"/>
      <c r="L336" s="108"/>
      <c r="M336" s="108"/>
      <c r="N336" s="108"/>
      <c r="O336" s="108"/>
      <c r="P336" s="108"/>
      <c r="Q336" s="108"/>
      <c r="R336" s="108"/>
      <c r="S336" s="108"/>
      <c r="T336" s="108"/>
      <c r="U336" s="108"/>
      <c r="V336" s="108"/>
      <c r="W336" s="108"/>
    </row>
    <row r="337" spans="2:23" s="35" customFormat="1" ht="50.1" customHeight="1">
      <c r="C337" s="104" t="s">
        <v>45</v>
      </c>
      <c r="D337" s="36" t="s">
        <v>96</v>
      </c>
      <c r="E337" s="36" t="s">
        <v>97</v>
      </c>
      <c r="F337" s="36" t="s">
        <v>98</v>
      </c>
      <c r="G337" s="36" t="s">
        <v>99</v>
      </c>
      <c r="H337" s="36" t="s">
        <v>100</v>
      </c>
      <c r="I337" s="36" t="s">
        <v>101</v>
      </c>
      <c r="J337" s="36" t="s">
        <v>102</v>
      </c>
      <c r="K337" s="36" t="s">
        <v>17</v>
      </c>
      <c r="L337" s="36" t="s">
        <v>103</v>
      </c>
      <c r="M337" s="36" t="s">
        <v>104</v>
      </c>
      <c r="N337" s="36" t="s">
        <v>105</v>
      </c>
      <c r="O337" s="36" t="s">
        <v>106</v>
      </c>
      <c r="P337" s="36" t="s">
        <v>107</v>
      </c>
      <c r="Q337" s="36" t="s">
        <v>108</v>
      </c>
      <c r="R337" s="36" t="s">
        <v>109</v>
      </c>
      <c r="S337" s="36" t="s">
        <v>110</v>
      </c>
      <c r="T337" s="36" t="s">
        <v>111</v>
      </c>
      <c r="U337" s="36" t="s">
        <v>112</v>
      </c>
      <c r="V337" s="36" t="s">
        <v>113</v>
      </c>
      <c r="W337" s="36" t="s">
        <v>114</v>
      </c>
    </row>
    <row r="338" spans="2:23" s="33" customFormat="1" ht="32.1" customHeight="1">
      <c r="C338" s="104"/>
      <c r="D338" s="37">
        <v>1</v>
      </c>
      <c r="E338" s="37">
        <v>2</v>
      </c>
      <c r="F338" s="37">
        <v>3</v>
      </c>
      <c r="G338" s="37">
        <v>4</v>
      </c>
      <c r="H338" s="37">
        <v>5</v>
      </c>
      <c r="I338" s="37">
        <v>6</v>
      </c>
      <c r="J338" s="37">
        <v>7</v>
      </c>
      <c r="K338" s="37">
        <v>8</v>
      </c>
      <c r="L338" s="37">
        <v>9</v>
      </c>
      <c r="M338" s="37">
        <v>10</v>
      </c>
      <c r="N338" s="37">
        <v>11</v>
      </c>
      <c r="O338" s="37">
        <v>12</v>
      </c>
      <c r="P338" s="37">
        <v>13</v>
      </c>
      <c r="Q338" s="37">
        <v>14</v>
      </c>
      <c r="R338" s="37">
        <v>15</v>
      </c>
      <c r="S338" s="37">
        <v>16</v>
      </c>
      <c r="T338" s="37">
        <v>17</v>
      </c>
      <c r="U338" s="37">
        <v>18</v>
      </c>
      <c r="V338" s="37">
        <v>19</v>
      </c>
      <c r="W338" s="38">
        <v>20</v>
      </c>
    </row>
    <row r="339" spans="2:23" s="33" customFormat="1" ht="20.100000000000001" customHeight="1">
      <c r="C339" s="39" t="s">
        <v>45</v>
      </c>
      <c r="D339" s="39" t="s">
        <v>96</v>
      </c>
      <c r="E339" s="39" t="s">
        <v>97</v>
      </c>
      <c r="F339" s="39" t="s">
        <v>98</v>
      </c>
      <c r="G339" s="39" t="s">
        <v>99</v>
      </c>
      <c r="H339" s="39" t="s">
        <v>100</v>
      </c>
      <c r="I339" s="39" t="s">
        <v>115</v>
      </c>
      <c r="J339" s="39" t="s">
        <v>102</v>
      </c>
      <c r="K339" s="39" t="s">
        <v>17</v>
      </c>
      <c r="L339" s="39" t="s">
        <v>116</v>
      </c>
      <c r="M339" s="39" t="s">
        <v>104</v>
      </c>
      <c r="N339" s="39" t="s">
        <v>117</v>
      </c>
      <c r="O339" s="39" t="s">
        <v>118</v>
      </c>
      <c r="P339" s="39" t="s">
        <v>119</v>
      </c>
      <c r="Q339" s="40" t="s">
        <v>120</v>
      </c>
      <c r="R339" s="39" t="s">
        <v>109</v>
      </c>
      <c r="S339" s="39" t="s">
        <v>110</v>
      </c>
      <c r="T339" s="40" t="s">
        <v>121</v>
      </c>
      <c r="U339" s="40" t="s">
        <v>14</v>
      </c>
      <c r="V339" s="39" t="s">
        <v>113</v>
      </c>
      <c r="W339" s="39" t="s">
        <v>122</v>
      </c>
    </row>
    <row r="340" spans="2:23" s="41" customFormat="1" ht="32.1" customHeight="1">
      <c r="B340" s="41">
        <f>B333+1</f>
        <v>10</v>
      </c>
      <c r="C340" s="42">
        <f>IF(ج_ح_دی23[[#This Row],[نام]]&lt;&gt;"",ROW()-340+1,"")</f>
        <v>1</v>
      </c>
      <c r="D340" s="43" t="s">
        <v>126</v>
      </c>
      <c r="E340" s="43" t="s">
        <v>126</v>
      </c>
      <c r="F340" s="44">
        <v>30</v>
      </c>
      <c r="G340" s="45">
        <v>1000000</v>
      </c>
      <c r="H340" s="46">
        <f>IF(ج_ح_دی23[[#This Row],[کارکرد]]*ج_ح_دی23[[#This Row],[دستمزد روزانه ]]=0,"",ج_ح_دی23[[#This Row],[کارکرد]]*ج_ح_دی23[[#This Row],[دستمزد روزانه ]])</f>
        <v>30000000</v>
      </c>
      <c r="I340" s="47">
        <v>7.33</v>
      </c>
      <c r="J340" s="48">
        <f>(ج_ح_دی23[[#This Row],[دستمزد روزانه ]]/7.33)*1.4*ج_ح_دی23[[#This Row],[مدت اضافه کاری ]]</f>
        <v>1400000</v>
      </c>
      <c r="K340" s="46">
        <f>IF(ج_ح_دی23[[#This Row],[کارکرد]]="","",ج_ح_دی23[[#This Row],[کارکرد]]*حق_مسکن/30)</f>
        <v>0</v>
      </c>
      <c r="L340" s="49">
        <v>1</v>
      </c>
      <c r="M340" s="46">
        <f>IF(ج_ح_دی23[[#This Row],[تعداد فرزندان]]="","",ج_ح_دی23[[#This Row],[کارکرد]]/30*3*ج_ح_دی23[[#This Row],[تعداد فرزندان]]*حداقل_حقوق_پایه_روزانه)</f>
        <v>0</v>
      </c>
      <c r="N340" s="46">
        <f>IF(ج_ح_دی23[[#This Row],[کارکرد]]="","",ج_ح_دی23[[#This Row],[کارکرد]]*حق_خواربار/30)</f>
        <v>0</v>
      </c>
      <c r="O340" s="46">
        <f>IFERROR(ج_ح_دی23[[#This Row],[حقوق پایه]]+ج_ح_دی23[[#This Row],[اضافه کاری]]+ج_ح_دی23[[#This Row],[حق مسکن]]+ج_ح_دی23[[#This Row],[حق اولاد]]+ج_ح_دی23[[#This Row],[حق و خواروبار]],"")</f>
        <v>31400000</v>
      </c>
      <c r="P340"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40" s="46" t="str">
        <f>IFERROR(ج_ح_دی23[[#This Row],[حقوق پایه]]+ج_ح_دی23[[#This Row],[اضافه کاری]]-(2/7)*ج_ح_دی23[[#This Row],[بیمه پرداختنی]],"")</f>
        <v/>
      </c>
      <c r="R340" s="45"/>
      <c r="S340" s="45"/>
      <c r="T340" s="46" t="str">
        <f>IFERROR(ج_ح_دی23[[#This Row],[جمع ح و م م بیمه ]]*7%,"")</f>
        <v/>
      </c>
      <c r="U340"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40" s="46" t="str">
        <f>IFERROR(ج_ح_دی23[[#This Row],[وام]]+ج_ح_دی23[[#This Row],[مساعده]]+ج_ح_دی23[[#This Row],[بیمه پرداختنی]]+ج_ح_دی23[[#This Row],[مالیات پرداختنی]],"")</f>
        <v/>
      </c>
      <c r="W340" s="46" t="str">
        <f>IFERROR(ج_ح_دی23[[#This Row],[جمع ح و م]]-ج_ح_دی23[[#This Row],[جمع کسورات]],"")</f>
        <v/>
      </c>
    </row>
    <row r="341" spans="2:23" s="41" customFormat="1" ht="32.1" customHeight="1">
      <c r="B341" s="41">
        <f>B340</f>
        <v>10</v>
      </c>
      <c r="C341" s="42" t="str">
        <f>IF(ج_ح_دی23[[#This Row],[نام]]&lt;&gt;"",ROW()-340+1,"")</f>
        <v/>
      </c>
      <c r="D341" s="43"/>
      <c r="E341" s="43"/>
      <c r="F341" s="44"/>
      <c r="G341" s="45"/>
      <c r="H341" s="46" t="str">
        <f>IF(ج_ح_دی23[[#This Row],[کارکرد]]*ج_ح_دی23[[#This Row],[دستمزد روزانه ]]=0,"",ج_ح_دی23[[#This Row],[کارکرد]]*ج_ح_دی23[[#This Row],[دستمزد روزانه ]])</f>
        <v/>
      </c>
      <c r="I341" s="47"/>
      <c r="J341" s="48">
        <f>(ج_ح_دی23[[#This Row],[دستمزد روزانه ]]/7.33)*1.4*ج_ح_دی23[[#This Row],[مدت اضافه کاری ]]</f>
        <v>0</v>
      </c>
      <c r="K341" s="46" t="str">
        <f>IF(ج_ح_دی23[[#This Row],[کارکرد]]="","",ج_ح_دی23[[#This Row],[کارکرد]]*حق_مسکن/30)</f>
        <v/>
      </c>
      <c r="L341" s="49"/>
      <c r="M341" s="46" t="str">
        <f>IF(ج_ح_دی23[[#This Row],[تعداد فرزندان]]="","",ج_ح_دی23[[#This Row],[کارکرد]]/30*3*ج_ح_دی23[[#This Row],[تعداد فرزندان]]*حداقل_حقوق_پایه_روزانه)</f>
        <v/>
      </c>
      <c r="N341" s="46" t="str">
        <f>IF(ج_ح_دی23[[#This Row],[کارکرد]]="","",ج_ح_دی23[[#This Row],[کارکرد]]*حق_خواربار/30)</f>
        <v/>
      </c>
      <c r="O341" s="46" t="str">
        <f>IFERROR(ج_ح_دی23[[#This Row],[حقوق پایه]]+ج_ح_دی23[[#This Row],[اضافه کاری]]+ج_ح_دی23[[#This Row],[حق مسکن]]+ج_ح_دی23[[#This Row],[حق اولاد]]+ج_ح_دی23[[#This Row],[حق و خواروبار]],"")</f>
        <v/>
      </c>
      <c r="P341"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41" s="46" t="str">
        <f>IFERROR(ج_ح_دی23[[#This Row],[حقوق پایه]]+ج_ح_دی23[[#This Row],[اضافه کاری]]-(2/7)*ج_ح_دی23[[#This Row],[بیمه پرداختنی]],"")</f>
        <v/>
      </c>
      <c r="R341" s="45"/>
      <c r="S341" s="45"/>
      <c r="T341" s="46" t="str">
        <f>IFERROR(ج_ح_دی23[[#This Row],[جمع ح و م م بیمه ]]*7%,"")</f>
        <v/>
      </c>
      <c r="U341"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41" s="46" t="str">
        <f>IFERROR(ج_ح_دی23[[#This Row],[وام]]+ج_ح_دی23[[#This Row],[مساعده]]+ج_ح_دی23[[#This Row],[بیمه پرداختنی]]+ج_ح_دی23[[#This Row],[مالیات پرداختنی]],"")</f>
        <v/>
      </c>
      <c r="W341" s="46" t="str">
        <f>IFERROR(ج_ح_دی23[[#This Row],[جمع ح و م]]-ج_ح_دی23[[#This Row],[جمع کسورات]],"")</f>
        <v/>
      </c>
    </row>
    <row r="342" spans="2:23" s="41" customFormat="1" ht="32.1" customHeight="1">
      <c r="B342" s="41">
        <f t="shared" ref="B342:B370" si="8">B341</f>
        <v>10</v>
      </c>
      <c r="C342" s="42" t="str">
        <f>IF(ج_ح_دی23[[#This Row],[نام]]&lt;&gt;"",ROW()-340+1,"")</f>
        <v/>
      </c>
      <c r="D342" s="43"/>
      <c r="E342" s="43"/>
      <c r="F342" s="44"/>
      <c r="G342" s="45"/>
      <c r="H342" s="46" t="str">
        <f>IF(ج_ح_دی23[[#This Row],[کارکرد]]*ج_ح_دی23[[#This Row],[دستمزد روزانه ]]=0,"",ج_ح_دی23[[#This Row],[کارکرد]]*ج_ح_دی23[[#This Row],[دستمزد روزانه ]])</f>
        <v/>
      </c>
      <c r="I342" s="47"/>
      <c r="J342" s="48">
        <f>(ج_ح_دی23[[#This Row],[دستمزد روزانه ]]/7.33)*1.4*ج_ح_دی23[[#This Row],[مدت اضافه کاری ]]</f>
        <v>0</v>
      </c>
      <c r="K342" s="46" t="str">
        <f>IF(ج_ح_دی23[[#This Row],[کارکرد]]="","",ج_ح_دی23[[#This Row],[کارکرد]]*حق_مسکن/30)</f>
        <v/>
      </c>
      <c r="L342" s="49"/>
      <c r="M342" s="46" t="str">
        <f>IF(ج_ح_دی23[[#This Row],[تعداد فرزندان]]="","",ج_ح_دی23[[#This Row],[کارکرد]]/30*3*ج_ح_دی23[[#This Row],[تعداد فرزندان]]*حداقل_حقوق_پایه_روزانه)</f>
        <v/>
      </c>
      <c r="N342" s="46" t="str">
        <f>IF(ج_ح_دی23[[#This Row],[کارکرد]]="","",ج_ح_دی23[[#This Row],[کارکرد]]*حق_خواربار/30)</f>
        <v/>
      </c>
      <c r="O342" s="46" t="str">
        <f>IFERROR(ج_ح_دی23[[#This Row],[حقوق پایه]]+ج_ح_دی23[[#This Row],[اضافه کاری]]+ج_ح_دی23[[#This Row],[حق مسکن]]+ج_ح_دی23[[#This Row],[حق اولاد]]+ج_ح_دی23[[#This Row],[حق و خواروبار]],"")</f>
        <v/>
      </c>
      <c r="P342"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42" s="46" t="str">
        <f>IFERROR(ج_ح_دی23[[#This Row],[حقوق پایه]]+ج_ح_دی23[[#This Row],[اضافه کاری]]-(2/7)*ج_ح_دی23[[#This Row],[بیمه پرداختنی]],"")</f>
        <v/>
      </c>
      <c r="R342" s="45"/>
      <c r="S342" s="45"/>
      <c r="T342" s="46" t="str">
        <f>IFERROR(ج_ح_دی23[[#This Row],[جمع ح و م م بیمه ]]*7%,"")</f>
        <v/>
      </c>
      <c r="U342"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42" s="46" t="str">
        <f>IFERROR(ج_ح_دی23[[#This Row],[وام]]+ج_ح_دی23[[#This Row],[مساعده]]+ج_ح_دی23[[#This Row],[بیمه پرداختنی]]+ج_ح_دی23[[#This Row],[مالیات پرداختنی]],"")</f>
        <v/>
      </c>
      <c r="W342" s="46" t="str">
        <f>IFERROR(ج_ح_دی23[[#This Row],[جمع ح و م]]-ج_ح_دی23[[#This Row],[جمع کسورات]],"")</f>
        <v/>
      </c>
    </row>
    <row r="343" spans="2:23" s="41" customFormat="1" ht="32.1" customHeight="1">
      <c r="B343" s="41">
        <f t="shared" si="8"/>
        <v>10</v>
      </c>
      <c r="C343" s="42" t="str">
        <f>IF(ج_ح_دی23[[#This Row],[نام]]&lt;&gt;"",ROW()-340+1,"")</f>
        <v/>
      </c>
      <c r="D343" s="43"/>
      <c r="E343" s="43"/>
      <c r="F343" s="44"/>
      <c r="G343" s="45"/>
      <c r="H343" s="46" t="str">
        <f>IF(ج_ح_دی23[[#This Row],[کارکرد]]*ج_ح_دی23[[#This Row],[دستمزد روزانه ]]=0,"",ج_ح_دی23[[#This Row],[کارکرد]]*ج_ح_دی23[[#This Row],[دستمزد روزانه ]])</f>
        <v/>
      </c>
      <c r="I343" s="47"/>
      <c r="J343" s="48">
        <f>(ج_ح_دی23[[#This Row],[دستمزد روزانه ]]/7.33)*1.4*ج_ح_دی23[[#This Row],[مدت اضافه کاری ]]</f>
        <v>0</v>
      </c>
      <c r="K343" s="46" t="str">
        <f>IF(ج_ح_دی23[[#This Row],[کارکرد]]="","",ج_ح_دی23[[#This Row],[کارکرد]]*حق_مسکن/30)</f>
        <v/>
      </c>
      <c r="L343" s="49"/>
      <c r="M343" s="46" t="str">
        <f>IF(ج_ح_دی23[[#This Row],[تعداد فرزندان]]="","",ج_ح_دی23[[#This Row],[کارکرد]]/30*3*ج_ح_دی23[[#This Row],[تعداد فرزندان]]*حداقل_حقوق_پایه_روزانه)</f>
        <v/>
      </c>
      <c r="N343" s="46" t="str">
        <f>IF(ج_ح_دی23[[#This Row],[کارکرد]]="","",ج_ح_دی23[[#This Row],[کارکرد]]*حق_خواربار/30)</f>
        <v/>
      </c>
      <c r="O343" s="46" t="str">
        <f>IFERROR(ج_ح_دی23[[#This Row],[حقوق پایه]]+ج_ح_دی23[[#This Row],[اضافه کاری]]+ج_ح_دی23[[#This Row],[حق مسکن]]+ج_ح_دی23[[#This Row],[حق اولاد]]+ج_ح_دی23[[#This Row],[حق و خواروبار]],"")</f>
        <v/>
      </c>
      <c r="P343"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43" s="46" t="str">
        <f>IFERROR(ج_ح_دی23[[#This Row],[حقوق پایه]]+ج_ح_دی23[[#This Row],[اضافه کاری]]-(2/7)*ج_ح_دی23[[#This Row],[بیمه پرداختنی]],"")</f>
        <v/>
      </c>
      <c r="R343" s="45"/>
      <c r="S343" s="45"/>
      <c r="T343" s="46" t="str">
        <f>IFERROR(ج_ح_دی23[[#This Row],[جمع ح و م م بیمه ]]*7%,"")</f>
        <v/>
      </c>
      <c r="U343"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43" s="46" t="str">
        <f>IFERROR(ج_ح_دی23[[#This Row],[وام]]+ج_ح_دی23[[#This Row],[مساعده]]+ج_ح_دی23[[#This Row],[بیمه پرداختنی]]+ج_ح_دی23[[#This Row],[مالیات پرداختنی]],"")</f>
        <v/>
      </c>
      <c r="W343" s="46" t="str">
        <f>IFERROR(ج_ح_دی23[[#This Row],[جمع ح و م]]-ج_ح_دی23[[#This Row],[جمع کسورات]],"")</f>
        <v/>
      </c>
    </row>
    <row r="344" spans="2:23" s="41" customFormat="1" ht="32.1" customHeight="1">
      <c r="B344" s="41">
        <f t="shared" si="8"/>
        <v>10</v>
      </c>
      <c r="C344" s="42" t="str">
        <f>IF(ج_ح_دی23[[#This Row],[نام]]&lt;&gt;"",ROW()-340+1,"")</f>
        <v/>
      </c>
      <c r="D344" s="43"/>
      <c r="E344" s="43"/>
      <c r="F344" s="44"/>
      <c r="G344" s="45"/>
      <c r="H344" s="46" t="str">
        <f>IF(ج_ح_دی23[[#This Row],[کارکرد]]*ج_ح_دی23[[#This Row],[دستمزد روزانه ]]=0,"",ج_ح_دی23[[#This Row],[کارکرد]]*ج_ح_دی23[[#This Row],[دستمزد روزانه ]])</f>
        <v/>
      </c>
      <c r="I344" s="47"/>
      <c r="J344" s="48">
        <f>(ج_ح_دی23[[#This Row],[دستمزد روزانه ]]/7.33)*1.4*ج_ح_دی23[[#This Row],[مدت اضافه کاری ]]</f>
        <v>0</v>
      </c>
      <c r="K344" s="46" t="str">
        <f>IF(ج_ح_دی23[[#This Row],[کارکرد]]="","",ج_ح_دی23[[#This Row],[کارکرد]]*حق_مسکن/30)</f>
        <v/>
      </c>
      <c r="L344" s="49"/>
      <c r="M344" s="46" t="str">
        <f>IF(ج_ح_دی23[[#This Row],[تعداد فرزندان]]="","",ج_ح_دی23[[#This Row],[کارکرد]]/30*3*ج_ح_دی23[[#This Row],[تعداد فرزندان]]*حداقل_حقوق_پایه_روزانه)</f>
        <v/>
      </c>
      <c r="N344" s="46" t="str">
        <f>IF(ج_ح_دی23[[#This Row],[کارکرد]]="","",ج_ح_دی23[[#This Row],[کارکرد]]*حق_خواربار/30)</f>
        <v/>
      </c>
      <c r="O344" s="46" t="str">
        <f>IFERROR(ج_ح_دی23[[#This Row],[حقوق پایه]]+ج_ح_دی23[[#This Row],[اضافه کاری]]+ج_ح_دی23[[#This Row],[حق مسکن]]+ج_ح_دی23[[#This Row],[حق اولاد]]+ج_ح_دی23[[#This Row],[حق و خواروبار]],"")</f>
        <v/>
      </c>
      <c r="P344"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44" s="46" t="str">
        <f>IFERROR(ج_ح_دی23[[#This Row],[حقوق پایه]]+ج_ح_دی23[[#This Row],[اضافه کاری]]-(2/7)*ج_ح_دی23[[#This Row],[بیمه پرداختنی]],"")</f>
        <v/>
      </c>
      <c r="R344" s="45"/>
      <c r="S344" s="45"/>
      <c r="T344" s="46" t="str">
        <f>IFERROR(ج_ح_دی23[[#This Row],[جمع ح و م م بیمه ]]*7%,"")</f>
        <v/>
      </c>
      <c r="U344"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44" s="46" t="str">
        <f>IFERROR(ج_ح_دی23[[#This Row],[وام]]+ج_ح_دی23[[#This Row],[مساعده]]+ج_ح_دی23[[#This Row],[بیمه پرداختنی]]+ج_ح_دی23[[#This Row],[مالیات پرداختنی]],"")</f>
        <v/>
      </c>
      <c r="W344" s="46" t="str">
        <f>IFERROR(ج_ح_دی23[[#This Row],[جمع ح و م]]-ج_ح_دی23[[#This Row],[جمع کسورات]],"")</f>
        <v/>
      </c>
    </row>
    <row r="345" spans="2:23" s="41" customFormat="1" ht="32.1" customHeight="1">
      <c r="B345" s="41">
        <f t="shared" si="8"/>
        <v>10</v>
      </c>
      <c r="C345" s="42" t="str">
        <f>IF(ج_ح_دی23[[#This Row],[نام]]&lt;&gt;"",ROW()-340+1,"")</f>
        <v/>
      </c>
      <c r="D345" s="43"/>
      <c r="E345" s="43"/>
      <c r="F345" s="44"/>
      <c r="G345" s="45"/>
      <c r="H345" s="46" t="str">
        <f>IF(ج_ح_دی23[[#This Row],[کارکرد]]*ج_ح_دی23[[#This Row],[دستمزد روزانه ]]=0,"",ج_ح_دی23[[#This Row],[کارکرد]]*ج_ح_دی23[[#This Row],[دستمزد روزانه ]])</f>
        <v/>
      </c>
      <c r="I345" s="47"/>
      <c r="J345" s="48">
        <f>(ج_ح_دی23[[#This Row],[دستمزد روزانه ]]/7.33)*1.4*ج_ح_دی23[[#This Row],[مدت اضافه کاری ]]</f>
        <v>0</v>
      </c>
      <c r="K345" s="46" t="str">
        <f>IF(ج_ح_دی23[[#This Row],[کارکرد]]="","",ج_ح_دی23[[#This Row],[کارکرد]]*حق_مسکن/30)</f>
        <v/>
      </c>
      <c r="L345" s="49"/>
      <c r="M345" s="46" t="str">
        <f>IF(ج_ح_دی23[[#This Row],[تعداد فرزندان]]="","",ج_ح_دی23[[#This Row],[کارکرد]]/30*3*ج_ح_دی23[[#This Row],[تعداد فرزندان]]*حداقل_حقوق_پایه_روزانه)</f>
        <v/>
      </c>
      <c r="N345" s="46" t="str">
        <f>IF(ج_ح_دی23[[#This Row],[کارکرد]]="","",ج_ح_دی23[[#This Row],[کارکرد]]*حق_خواربار/30)</f>
        <v/>
      </c>
      <c r="O345" s="46" t="str">
        <f>IFERROR(ج_ح_دی23[[#This Row],[حقوق پایه]]+ج_ح_دی23[[#This Row],[اضافه کاری]]+ج_ح_دی23[[#This Row],[حق مسکن]]+ج_ح_دی23[[#This Row],[حق اولاد]]+ج_ح_دی23[[#This Row],[حق و خواروبار]],"")</f>
        <v/>
      </c>
      <c r="P345"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45" s="46" t="str">
        <f>IFERROR(ج_ح_دی23[[#This Row],[حقوق پایه]]+ج_ح_دی23[[#This Row],[اضافه کاری]]-(2/7)*ج_ح_دی23[[#This Row],[بیمه پرداختنی]],"")</f>
        <v/>
      </c>
      <c r="R345" s="45"/>
      <c r="S345" s="45"/>
      <c r="T345" s="46" t="str">
        <f>IFERROR(ج_ح_دی23[[#This Row],[جمع ح و م م بیمه ]]*7%,"")</f>
        <v/>
      </c>
      <c r="U345"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45" s="46" t="str">
        <f>IFERROR(ج_ح_دی23[[#This Row],[وام]]+ج_ح_دی23[[#This Row],[مساعده]]+ج_ح_دی23[[#This Row],[بیمه پرداختنی]]+ج_ح_دی23[[#This Row],[مالیات پرداختنی]],"")</f>
        <v/>
      </c>
      <c r="W345" s="46" t="str">
        <f>IFERROR(ج_ح_دی23[[#This Row],[جمع ح و م]]-ج_ح_دی23[[#This Row],[جمع کسورات]],"")</f>
        <v/>
      </c>
    </row>
    <row r="346" spans="2:23" s="41" customFormat="1" ht="32.1" customHeight="1">
      <c r="B346" s="41">
        <f t="shared" si="8"/>
        <v>10</v>
      </c>
      <c r="C346" s="42" t="str">
        <f>IF(ج_ح_دی23[[#This Row],[نام]]&lt;&gt;"",ROW()-340+1,"")</f>
        <v/>
      </c>
      <c r="D346" s="43"/>
      <c r="E346" s="43"/>
      <c r="F346" s="44"/>
      <c r="G346" s="45"/>
      <c r="H346" s="46" t="str">
        <f>IF(ج_ح_دی23[[#This Row],[کارکرد]]*ج_ح_دی23[[#This Row],[دستمزد روزانه ]]=0,"",ج_ح_دی23[[#This Row],[کارکرد]]*ج_ح_دی23[[#This Row],[دستمزد روزانه ]])</f>
        <v/>
      </c>
      <c r="I346" s="47"/>
      <c r="J346" s="48">
        <f>(ج_ح_دی23[[#This Row],[دستمزد روزانه ]]/7.33)*1.4*ج_ح_دی23[[#This Row],[مدت اضافه کاری ]]</f>
        <v>0</v>
      </c>
      <c r="K346" s="46" t="str">
        <f>IF(ج_ح_دی23[[#This Row],[کارکرد]]="","",ج_ح_دی23[[#This Row],[کارکرد]]*حق_مسکن/30)</f>
        <v/>
      </c>
      <c r="L346" s="49"/>
      <c r="M346" s="46" t="str">
        <f>IF(ج_ح_دی23[[#This Row],[تعداد فرزندان]]="","",ج_ح_دی23[[#This Row],[کارکرد]]/30*3*ج_ح_دی23[[#This Row],[تعداد فرزندان]]*حداقل_حقوق_پایه_روزانه)</f>
        <v/>
      </c>
      <c r="N346" s="46" t="str">
        <f>IF(ج_ح_دی23[[#This Row],[کارکرد]]="","",ج_ح_دی23[[#This Row],[کارکرد]]*حق_خواربار/30)</f>
        <v/>
      </c>
      <c r="O346" s="46" t="str">
        <f>IFERROR(ج_ح_دی23[[#This Row],[حقوق پایه]]+ج_ح_دی23[[#This Row],[اضافه کاری]]+ج_ح_دی23[[#This Row],[حق مسکن]]+ج_ح_دی23[[#This Row],[حق اولاد]]+ج_ح_دی23[[#This Row],[حق و خواروبار]],"")</f>
        <v/>
      </c>
      <c r="P346"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46" s="46" t="str">
        <f>IFERROR(ج_ح_دی23[[#This Row],[حقوق پایه]]+ج_ح_دی23[[#This Row],[اضافه کاری]]-(2/7)*ج_ح_دی23[[#This Row],[بیمه پرداختنی]],"")</f>
        <v/>
      </c>
      <c r="R346" s="45"/>
      <c r="S346" s="45"/>
      <c r="T346" s="46" t="str">
        <f>IFERROR(ج_ح_دی23[[#This Row],[جمع ح و م م بیمه ]]*7%,"")</f>
        <v/>
      </c>
      <c r="U346"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46" s="46" t="str">
        <f>IFERROR(ج_ح_دی23[[#This Row],[وام]]+ج_ح_دی23[[#This Row],[مساعده]]+ج_ح_دی23[[#This Row],[بیمه پرداختنی]]+ج_ح_دی23[[#This Row],[مالیات پرداختنی]],"")</f>
        <v/>
      </c>
      <c r="W346" s="46" t="str">
        <f>IFERROR(ج_ح_دی23[[#This Row],[جمع ح و م]]-ج_ح_دی23[[#This Row],[جمع کسورات]],"")</f>
        <v/>
      </c>
    </row>
    <row r="347" spans="2:23" s="41" customFormat="1" ht="32.1" customHeight="1">
      <c r="B347" s="41">
        <f t="shared" si="8"/>
        <v>10</v>
      </c>
      <c r="C347" s="42" t="str">
        <f>IF(ج_ح_دی23[[#This Row],[نام]]&lt;&gt;"",ROW()-340+1,"")</f>
        <v/>
      </c>
      <c r="D347" s="43"/>
      <c r="E347" s="43"/>
      <c r="F347" s="44"/>
      <c r="G347" s="45"/>
      <c r="H347" s="46" t="str">
        <f>IF(ج_ح_دی23[[#This Row],[کارکرد]]*ج_ح_دی23[[#This Row],[دستمزد روزانه ]]=0,"",ج_ح_دی23[[#This Row],[کارکرد]]*ج_ح_دی23[[#This Row],[دستمزد روزانه ]])</f>
        <v/>
      </c>
      <c r="I347" s="47"/>
      <c r="J347" s="48">
        <f>(ج_ح_دی23[[#This Row],[دستمزد روزانه ]]/7.33)*1.4*ج_ح_دی23[[#This Row],[مدت اضافه کاری ]]</f>
        <v>0</v>
      </c>
      <c r="K347" s="46" t="str">
        <f>IF(ج_ح_دی23[[#This Row],[کارکرد]]="","",ج_ح_دی23[[#This Row],[کارکرد]]*حق_مسکن/30)</f>
        <v/>
      </c>
      <c r="L347" s="49"/>
      <c r="M347" s="46" t="str">
        <f>IF(ج_ح_دی23[[#This Row],[تعداد فرزندان]]="","",ج_ح_دی23[[#This Row],[کارکرد]]/30*3*ج_ح_دی23[[#This Row],[تعداد فرزندان]]*حداقل_حقوق_پایه_روزانه)</f>
        <v/>
      </c>
      <c r="N347" s="46" t="str">
        <f>IF(ج_ح_دی23[[#This Row],[کارکرد]]="","",ج_ح_دی23[[#This Row],[کارکرد]]*حق_خواربار/30)</f>
        <v/>
      </c>
      <c r="O347" s="46" t="str">
        <f>IFERROR(ج_ح_دی23[[#This Row],[حقوق پایه]]+ج_ح_دی23[[#This Row],[اضافه کاری]]+ج_ح_دی23[[#This Row],[حق مسکن]]+ج_ح_دی23[[#This Row],[حق اولاد]]+ج_ح_دی23[[#This Row],[حق و خواروبار]],"")</f>
        <v/>
      </c>
      <c r="P347"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47" s="46" t="str">
        <f>IFERROR(ج_ح_دی23[[#This Row],[حقوق پایه]]+ج_ح_دی23[[#This Row],[اضافه کاری]]-(2/7)*ج_ح_دی23[[#This Row],[بیمه پرداختنی]],"")</f>
        <v/>
      </c>
      <c r="R347" s="45"/>
      <c r="S347" s="45"/>
      <c r="T347" s="46" t="str">
        <f>IFERROR(ج_ح_دی23[[#This Row],[جمع ح و م م بیمه ]]*7%,"")</f>
        <v/>
      </c>
      <c r="U347"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47" s="46" t="str">
        <f>IFERROR(ج_ح_دی23[[#This Row],[وام]]+ج_ح_دی23[[#This Row],[مساعده]]+ج_ح_دی23[[#This Row],[بیمه پرداختنی]]+ج_ح_دی23[[#This Row],[مالیات پرداختنی]],"")</f>
        <v/>
      </c>
      <c r="W347" s="46" t="str">
        <f>IFERROR(ج_ح_دی23[[#This Row],[جمع ح و م]]-ج_ح_دی23[[#This Row],[جمع کسورات]],"")</f>
        <v/>
      </c>
    </row>
    <row r="348" spans="2:23" s="41" customFormat="1" ht="32.1" customHeight="1">
      <c r="B348" s="41">
        <f t="shared" si="8"/>
        <v>10</v>
      </c>
      <c r="C348" s="42" t="str">
        <f>IF(ج_ح_دی23[[#This Row],[نام]]&lt;&gt;"",ROW()-340+1,"")</f>
        <v/>
      </c>
      <c r="D348" s="43"/>
      <c r="E348" s="43"/>
      <c r="F348" s="44"/>
      <c r="G348" s="45"/>
      <c r="H348" s="46" t="str">
        <f>IF(ج_ح_دی23[[#This Row],[کارکرد]]*ج_ح_دی23[[#This Row],[دستمزد روزانه ]]=0,"",ج_ح_دی23[[#This Row],[کارکرد]]*ج_ح_دی23[[#This Row],[دستمزد روزانه ]])</f>
        <v/>
      </c>
      <c r="I348" s="47"/>
      <c r="J348" s="48">
        <f>(ج_ح_دی23[[#This Row],[دستمزد روزانه ]]/7.33)*1.4*ج_ح_دی23[[#This Row],[مدت اضافه کاری ]]</f>
        <v>0</v>
      </c>
      <c r="K348" s="46" t="str">
        <f>IF(ج_ح_دی23[[#This Row],[کارکرد]]="","",ج_ح_دی23[[#This Row],[کارکرد]]*حق_مسکن/30)</f>
        <v/>
      </c>
      <c r="L348" s="49"/>
      <c r="M348" s="46" t="str">
        <f>IF(ج_ح_دی23[[#This Row],[تعداد فرزندان]]="","",ج_ح_دی23[[#This Row],[کارکرد]]/30*3*ج_ح_دی23[[#This Row],[تعداد فرزندان]]*حداقل_حقوق_پایه_روزانه)</f>
        <v/>
      </c>
      <c r="N348" s="46" t="str">
        <f>IF(ج_ح_دی23[[#This Row],[کارکرد]]="","",ج_ح_دی23[[#This Row],[کارکرد]]*حق_خواربار/30)</f>
        <v/>
      </c>
      <c r="O348" s="46" t="str">
        <f>IFERROR(ج_ح_دی23[[#This Row],[حقوق پایه]]+ج_ح_دی23[[#This Row],[اضافه کاری]]+ج_ح_دی23[[#This Row],[حق مسکن]]+ج_ح_دی23[[#This Row],[حق اولاد]]+ج_ح_دی23[[#This Row],[حق و خواروبار]],"")</f>
        <v/>
      </c>
      <c r="P348"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48" s="46" t="str">
        <f>IFERROR(ج_ح_دی23[[#This Row],[حقوق پایه]]+ج_ح_دی23[[#This Row],[اضافه کاری]]-(2/7)*ج_ح_دی23[[#This Row],[بیمه پرداختنی]],"")</f>
        <v/>
      </c>
      <c r="R348" s="45"/>
      <c r="S348" s="45"/>
      <c r="T348" s="46" t="str">
        <f>IFERROR(ج_ح_دی23[[#This Row],[جمع ح و م م بیمه ]]*7%,"")</f>
        <v/>
      </c>
      <c r="U348"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48" s="46" t="str">
        <f>IFERROR(ج_ح_دی23[[#This Row],[وام]]+ج_ح_دی23[[#This Row],[مساعده]]+ج_ح_دی23[[#This Row],[بیمه پرداختنی]]+ج_ح_دی23[[#This Row],[مالیات پرداختنی]],"")</f>
        <v/>
      </c>
      <c r="W348" s="46" t="str">
        <f>IFERROR(ج_ح_دی23[[#This Row],[جمع ح و م]]-ج_ح_دی23[[#This Row],[جمع کسورات]],"")</f>
        <v/>
      </c>
    </row>
    <row r="349" spans="2:23" s="41" customFormat="1" ht="32.1" customHeight="1">
      <c r="B349" s="41">
        <f t="shared" si="8"/>
        <v>10</v>
      </c>
      <c r="C349" s="42" t="str">
        <f>IF(ج_ح_دی23[[#This Row],[نام]]&lt;&gt;"",ROW()-340+1,"")</f>
        <v/>
      </c>
      <c r="D349" s="43"/>
      <c r="E349" s="43"/>
      <c r="F349" s="44"/>
      <c r="G349" s="45"/>
      <c r="H349" s="46" t="str">
        <f>IF(ج_ح_دی23[[#This Row],[کارکرد]]*ج_ح_دی23[[#This Row],[دستمزد روزانه ]]=0,"",ج_ح_دی23[[#This Row],[کارکرد]]*ج_ح_دی23[[#This Row],[دستمزد روزانه ]])</f>
        <v/>
      </c>
      <c r="I349" s="47"/>
      <c r="J349" s="48">
        <f>(ج_ح_دی23[[#This Row],[دستمزد روزانه ]]/7.33)*1.4*ج_ح_دی23[[#This Row],[مدت اضافه کاری ]]</f>
        <v>0</v>
      </c>
      <c r="K349" s="46" t="str">
        <f>IF(ج_ح_دی23[[#This Row],[کارکرد]]="","",ج_ح_دی23[[#This Row],[کارکرد]]*حق_مسکن/30)</f>
        <v/>
      </c>
      <c r="L349" s="49"/>
      <c r="M349" s="46" t="str">
        <f>IF(ج_ح_دی23[[#This Row],[تعداد فرزندان]]="","",ج_ح_دی23[[#This Row],[کارکرد]]/30*3*ج_ح_دی23[[#This Row],[تعداد فرزندان]]*حداقل_حقوق_پایه_روزانه)</f>
        <v/>
      </c>
      <c r="N349" s="46" t="str">
        <f>IF(ج_ح_دی23[[#This Row],[کارکرد]]="","",ج_ح_دی23[[#This Row],[کارکرد]]*حق_خواربار/30)</f>
        <v/>
      </c>
      <c r="O349" s="46" t="str">
        <f>IFERROR(ج_ح_دی23[[#This Row],[حقوق پایه]]+ج_ح_دی23[[#This Row],[اضافه کاری]]+ج_ح_دی23[[#This Row],[حق مسکن]]+ج_ح_دی23[[#This Row],[حق اولاد]]+ج_ح_دی23[[#This Row],[حق و خواروبار]],"")</f>
        <v/>
      </c>
      <c r="P349"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49" s="46" t="str">
        <f>IFERROR(ج_ح_دی23[[#This Row],[حقوق پایه]]+ج_ح_دی23[[#This Row],[اضافه کاری]]-(2/7)*ج_ح_دی23[[#This Row],[بیمه پرداختنی]],"")</f>
        <v/>
      </c>
      <c r="R349" s="45"/>
      <c r="S349" s="45"/>
      <c r="T349" s="46" t="str">
        <f>IFERROR(ج_ح_دی23[[#This Row],[جمع ح و م م بیمه ]]*7%,"")</f>
        <v/>
      </c>
      <c r="U349"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49" s="46" t="str">
        <f>IFERROR(ج_ح_دی23[[#This Row],[وام]]+ج_ح_دی23[[#This Row],[مساعده]]+ج_ح_دی23[[#This Row],[بیمه پرداختنی]]+ج_ح_دی23[[#This Row],[مالیات پرداختنی]],"")</f>
        <v/>
      </c>
      <c r="W349" s="46" t="str">
        <f>IFERROR(ج_ح_دی23[[#This Row],[جمع ح و م]]-ج_ح_دی23[[#This Row],[جمع کسورات]],"")</f>
        <v/>
      </c>
    </row>
    <row r="350" spans="2:23" s="41" customFormat="1" ht="32.1" customHeight="1">
      <c r="B350" s="41">
        <f t="shared" si="8"/>
        <v>10</v>
      </c>
      <c r="C350" s="42" t="str">
        <f>IF(ج_ح_دی23[[#This Row],[نام]]&lt;&gt;"",ROW()-340+1,"")</f>
        <v/>
      </c>
      <c r="D350" s="43"/>
      <c r="E350" s="43"/>
      <c r="F350" s="44"/>
      <c r="G350" s="45"/>
      <c r="H350" s="46" t="str">
        <f>IF(ج_ح_دی23[[#This Row],[کارکرد]]*ج_ح_دی23[[#This Row],[دستمزد روزانه ]]=0,"",ج_ح_دی23[[#This Row],[کارکرد]]*ج_ح_دی23[[#This Row],[دستمزد روزانه ]])</f>
        <v/>
      </c>
      <c r="I350" s="47"/>
      <c r="J350" s="48">
        <f>(ج_ح_دی23[[#This Row],[دستمزد روزانه ]]/7.33)*1.4*ج_ح_دی23[[#This Row],[مدت اضافه کاری ]]</f>
        <v>0</v>
      </c>
      <c r="K350" s="46" t="str">
        <f>IF(ج_ح_دی23[[#This Row],[کارکرد]]="","",ج_ح_دی23[[#This Row],[کارکرد]]*حق_مسکن/30)</f>
        <v/>
      </c>
      <c r="L350" s="49"/>
      <c r="M350" s="46" t="str">
        <f>IF(ج_ح_دی23[[#This Row],[تعداد فرزندان]]="","",ج_ح_دی23[[#This Row],[کارکرد]]/30*3*ج_ح_دی23[[#This Row],[تعداد فرزندان]]*حداقل_حقوق_پایه_روزانه)</f>
        <v/>
      </c>
      <c r="N350" s="46" t="str">
        <f>IF(ج_ح_دی23[[#This Row],[کارکرد]]="","",ج_ح_دی23[[#This Row],[کارکرد]]*حق_خواربار/30)</f>
        <v/>
      </c>
      <c r="O350" s="46" t="str">
        <f>IFERROR(ج_ح_دی23[[#This Row],[حقوق پایه]]+ج_ح_دی23[[#This Row],[اضافه کاری]]+ج_ح_دی23[[#This Row],[حق مسکن]]+ج_ح_دی23[[#This Row],[حق اولاد]]+ج_ح_دی23[[#This Row],[حق و خواروبار]],"")</f>
        <v/>
      </c>
      <c r="P350"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50" s="46" t="str">
        <f>IFERROR(ج_ح_دی23[[#This Row],[حقوق پایه]]+ج_ح_دی23[[#This Row],[اضافه کاری]]-(2/7)*ج_ح_دی23[[#This Row],[بیمه پرداختنی]],"")</f>
        <v/>
      </c>
      <c r="R350" s="45"/>
      <c r="S350" s="45"/>
      <c r="T350" s="46" t="str">
        <f>IFERROR(ج_ح_دی23[[#This Row],[جمع ح و م م بیمه ]]*7%,"")</f>
        <v/>
      </c>
      <c r="U350"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50" s="46" t="str">
        <f>IFERROR(ج_ح_دی23[[#This Row],[وام]]+ج_ح_دی23[[#This Row],[مساعده]]+ج_ح_دی23[[#This Row],[بیمه پرداختنی]]+ج_ح_دی23[[#This Row],[مالیات پرداختنی]],"")</f>
        <v/>
      </c>
      <c r="W350" s="46" t="str">
        <f>IFERROR(ج_ح_دی23[[#This Row],[جمع ح و م]]-ج_ح_دی23[[#This Row],[جمع کسورات]],"")</f>
        <v/>
      </c>
    </row>
    <row r="351" spans="2:23" s="41" customFormat="1" ht="32.1" customHeight="1">
      <c r="B351" s="41">
        <f t="shared" si="8"/>
        <v>10</v>
      </c>
      <c r="C351" s="42" t="str">
        <f>IF(ج_ح_دی23[[#This Row],[نام]]&lt;&gt;"",ROW()-340+1,"")</f>
        <v/>
      </c>
      <c r="D351" s="43"/>
      <c r="E351" s="43"/>
      <c r="F351" s="44"/>
      <c r="G351" s="45"/>
      <c r="H351" s="46" t="str">
        <f>IF(ج_ح_دی23[[#This Row],[کارکرد]]*ج_ح_دی23[[#This Row],[دستمزد روزانه ]]=0,"",ج_ح_دی23[[#This Row],[کارکرد]]*ج_ح_دی23[[#This Row],[دستمزد روزانه ]])</f>
        <v/>
      </c>
      <c r="I351" s="47"/>
      <c r="J351" s="48">
        <f>(ج_ح_دی23[[#This Row],[دستمزد روزانه ]]/7.33)*1.4*ج_ح_دی23[[#This Row],[مدت اضافه کاری ]]</f>
        <v>0</v>
      </c>
      <c r="K351" s="46" t="str">
        <f>IF(ج_ح_دی23[[#This Row],[کارکرد]]="","",ج_ح_دی23[[#This Row],[کارکرد]]*حق_مسکن/30)</f>
        <v/>
      </c>
      <c r="L351" s="49"/>
      <c r="M351" s="46" t="str">
        <f>IF(ج_ح_دی23[[#This Row],[تعداد فرزندان]]="","",ج_ح_دی23[[#This Row],[کارکرد]]/30*3*ج_ح_دی23[[#This Row],[تعداد فرزندان]]*حداقل_حقوق_پایه_روزانه)</f>
        <v/>
      </c>
      <c r="N351" s="46" t="str">
        <f>IF(ج_ح_دی23[[#This Row],[کارکرد]]="","",ج_ح_دی23[[#This Row],[کارکرد]]*حق_خواربار/30)</f>
        <v/>
      </c>
      <c r="O351" s="46" t="str">
        <f>IFERROR(ج_ح_دی23[[#This Row],[حقوق پایه]]+ج_ح_دی23[[#This Row],[اضافه کاری]]+ج_ح_دی23[[#This Row],[حق مسکن]]+ج_ح_دی23[[#This Row],[حق اولاد]]+ج_ح_دی23[[#This Row],[حق و خواروبار]],"")</f>
        <v/>
      </c>
      <c r="P351"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51" s="46" t="str">
        <f>IFERROR(ج_ح_دی23[[#This Row],[حقوق پایه]]+ج_ح_دی23[[#This Row],[اضافه کاری]]-(2/7)*ج_ح_دی23[[#This Row],[بیمه پرداختنی]],"")</f>
        <v/>
      </c>
      <c r="R351" s="45"/>
      <c r="S351" s="45"/>
      <c r="T351" s="46" t="str">
        <f>IFERROR(ج_ح_دی23[[#This Row],[جمع ح و م م بیمه ]]*7%,"")</f>
        <v/>
      </c>
      <c r="U351"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51" s="46" t="str">
        <f>IFERROR(ج_ح_دی23[[#This Row],[وام]]+ج_ح_دی23[[#This Row],[مساعده]]+ج_ح_دی23[[#This Row],[بیمه پرداختنی]]+ج_ح_دی23[[#This Row],[مالیات پرداختنی]],"")</f>
        <v/>
      </c>
      <c r="W351" s="46" t="str">
        <f>IFERROR(ج_ح_دی23[[#This Row],[جمع ح و م]]-ج_ح_دی23[[#This Row],[جمع کسورات]],"")</f>
        <v/>
      </c>
    </row>
    <row r="352" spans="2:23" s="41" customFormat="1" ht="32.1" customHeight="1">
      <c r="B352" s="41">
        <f t="shared" si="8"/>
        <v>10</v>
      </c>
      <c r="C352" s="42" t="str">
        <f>IF(ج_ح_دی23[[#This Row],[نام]]&lt;&gt;"",ROW()-340+1,"")</f>
        <v/>
      </c>
      <c r="D352" s="43"/>
      <c r="E352" s="43"/>
      <c r="F352" s="44"/>
      <c r="G352" s="45"/>
      <c r="H352" s="46" t="str">
        <f>IF(ج_ح_دی23[[#This Row],[کارکرد]]*ج_ح_دی23[[#This Row],[دستمزد روزانه ]]=0,"",ج_ح_دی23[[#This Row],[کارکرد]]*ج_ح_دی23[[#This Row],[دستمزد روزانه ]])</f>
        <v/>
      </c>
      <c r="I352" s="47"/>
      <c r="J352" s="48">
        <f>(ج_ح_دی23[[#This Row],[دستمزد روزانه ]]/7.33)*1.4*ج_ح_دی23[[#This Row],[مدت اضافه کاری ]]</f>
        <v>0</v>
      </c>
      <c r="K352" s="46" t="str">
        <f>IF(ج_ح_دی23[[#This Row],[کارکرد]]="","",ج_ح_دی23[[#This Row],[کارکرد]]*حق_مسکن/30)</f>
        <v/>
      </c>
      <c r="L352" s="49"/>
      <c r="M352" s="46" t="str">
        <f>IF(ج_ح_دی23[[#This Row],[تعداد فرزندان]]="","",ج_ح_دی23[[#This Row],[کارکرد]]/30*3*ج_ح_دی23[[#This Row],[تعداد فرزندان]]*حداقل_حقوق_پایه_روزانه)</f>
        <v/>
      </c>
      <c r="N352" s="46" t="str">
        <f>IF(ج_ح_دی23[[#This Row],[کارکرد]]="","",ج_ح_دی23[[#This Row],[کارکرد]]*حق_خواربار/30)</f>
        <v/>
      </c>
      <c r="O352" s="46" t="str">
        <f>IFERROR(ج_ح_دی23[[#This Row],[حقوق پایه]]+ج_ح_دی23[[#This Row],[اضافه کاری]]+ج_ح_دی23[[#This Row],[حق مسکن]]+ج_ح_دی23[[#This Row],[حق اولاد]]+ج_ح_دی23[[#This Row],[حق و خواروبار]],"")</f>
        <v/>
      </c>
      <c r="P352"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52" s="46" t="str">
        <f>IFERROR(ج_ح_دی23[[#This Row],[حقوق پایه]]+ج_ح_دی23[[#This Row],[اضافه کاری]]-(2/7)*ج_ح_دی23[[#This Row],[بیمه پرداختنی]],"")</f>
        <v/>
      </c>
      <c r="R352" s="45"/>
      <c r="S352" s="45"/>
      <c r="T352" s="46" t="str">
        <f>IFERROR(ج_ح_دی23[[#This Row],[جمع ح و م م بیمه ]]*7%,"")</f>
        <v/>
      </c>
      <c r="U352"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52" s="46" t="str">
        <f>IFERROR(ج_ح_دی23[[#This Row],[وام]]+ج_ح_دی23[[#This Row],[مساعده]]+ج_ح_دی23[[#This Row],[بیمه پرداختنی]]+ج_ح_دی23[[#This Row],[مالیات پرداختنی]],"")</f>
        <v/>
      </c>
      <c r="W352" s="46" t="str">
        <f>IFERROR(ج_ح_دی23[[#This Row],[جمع ح و م]]-ج_ح_دی23[[#This Row],[جمع کسورات]],"")</f>
        <v/>
      </c>
    </row>
    <row r="353" spans="2:23" s="41" customFormat="1" ht="32.1" customHeight="1">
      <c r="B353" s="41">
        <f t="shared" si="8"/>
        <v>10</v>
      </c>
      <c r="C353" s="42" t="str">
        <f>IF(ج_ح_دی23[[#This Row],[نام]]&lt;&gt;"",ROW()-340+1,"")</f>
        <v/>
      </c>
      <c r="D353" s="43"/>
      <c r="E353" s="43"/>
      <c r="F353" s="44"/>
      <c r="G353" s="45"/>
      <c r="H353" s="46" t="str">
        <f>IF(ج_ح_دی23[[#This Row],[کارکرد]]*ج_ح_دی23[[#This Row],[دستمزد روزانه ]]=0,"",ج_ح_دی23[[#This Row],[کارکرد]]*ج_ح_دی23[[#This Row],[دستمزد روزانه ]])</f>
        <v/>
      </c>
      <c r="I353" s="47"/>
      <c r="J353" s="48">
        <f>(ج_ح_دی23[[#This Row],[دستمزد روزانه ]]/7.33)*1.4*ج_ح_دی23[[#This Row],[مدت اضافه کاری ]]</f>
        <v>0</v>
      </c>
      <c r="K353" s="46" t="str">
        <f>IF(ج_ح_دی23[[#This Row],[کارکرد]]="","",ج_ح_دی23[[#This Row],[کارکرد]]*حق_مسکن/30)</f>
        <v/>
      </c>
      <c r="L353" s="49"/>
      <c r="M353" s="46" t="str">
        <f>IF(ج_ح_دی23[[#This Row],[تعداد فرزندان]]="","",ج_ح_دی23[[#This Row],[کارکرد]]/30*3*ج_ح_دی23[[#This Row],[تعداد فرزندان]]*حداقل_حقوق_پایه_روزانه)</f>
        <v/>
      </c>
      <c r="N353" s="46" t="str">
        <f>IF(ج_ح_دی23[[#This Row],[کارکرد]]="","",ج_ح_دی23[[#This Row],[کارکرد]]*حق_خواربار/30)</f>
        <v/>
      </c>
      <c r="O353" s="46" t="str">
        <f>IFERROR(ج_ح_دی23[[#This Row],[حقوق پایه]]+ج_ح_دی23[[#This Row],[اضافه کاری]]+ج_ح_دی23[[#This Row],[حق مسکن]]+ج_ح_دی23[[#This Row],[حق اولاد]]+ج_ح_دی23[[#This Row],[حق و خواروبار]],"")</f>
        <v/>
      </c>
      <c r="P353"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53" s="46" t="str">
        <f>IFERROR(ج_ح_دی23[[#This Row],[حقوق پایه]]+ج_ح_دی23[[#This Row],[اضافه کاری]]-(2/7)*ج_ح_دی23[[#This Row],[بیمه پرداختنی]],"")</f>
        <v/>
      </c>
      <c r="R353" s="45"/>
      <c r="S353" s="45"/>
      <c r="T353" s="46" t="str">
        <f>IFERROR(ج_ح_دی23[[#This Row],[جمع ح و م م بیمه ]]*7%,"")</f>
        <v/>
      </c>
      <c r="U353"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53" s="46" t="str">
        <f>IFERROR(ج_ح_دی23[[#This Row],[وام]]+ج_ح_دی23[[#This Row],[مساعده]]+ج_ح_دی23[[#This Row],[بیمه پرداختنی]]+ج_ح_دی23[[#This Row],[مالیات پرداختنی]],"")</f>
        <v/>
      </c>
      <c r="W353" s="46" t="str">
        <f>IFERROR(ج_ح_دی23[[#This Row],[جمع ح و م]]-ج_ح_دی23[[#This Row],[جمع کسورات]],"")</f>
        <v/>
      </c>
    </row>
    <row r="354" spans="2:23" s="41" customFormat="1" ht="32.1" customHeight="1">
      <c r="B354" s="41">
        <f t="shared" si="8"/>
        <v>10</v>
      </c>
      <c r="C354" s="42" t="str">
        <f>IF(ج_ح_دی23[[#This Row],[نام]]&lt;&gt;"",ROW()-340+1,"")</f>
        <v/>
      </c>
      <c r="D354" s="43"/>
      <c r="E354" s="43"/>
      <c r="F354" s="44"/>
      <c r="G354" s="45"/>
      <c r="H354" s="46" t="str">
        <f>IF(ج_ح_دی23[[#This Row],[کارکرد]]*ج_ح_دی23[[#This Row],[دستمزد روزانه ]]=0,"",ج_ح_دی23[[#This Row],[کارکرد]]*ج_ح_دی23[[#This Row],[دستمزد روزانه ]])</f>
        <v/>
      </c>
      <c r="I354" s="47"/>
      <c r="J354" s="48">
        <f>(ج_ح_دی23[[#This Row],[دستمزد روزانه ]]/7.33)*1.4*ج_ح_دی23[[#This Row],[مدت اضافه کاری ]]</f>
        <v>0</v>
      </c>
      <c r="K354" s="46" t="str">
        <f>IF(ج_ح_دی23[[#This Row],[کارکرد]]="","",ج_ح_دی23[[#This Row],[کارکرد]]*حق_مسکن/30)</f>
        <v/>
      </c>
      <c r="L354" s="49"/>
      <c r="M354" s="46" t="str">
        <f>IF(ج_ح_دی23[[#This Row],[تعداد فرزندان]]="","",ج_ح_دی23[[#This Row],[کارکرد]]/30*3*ج_ح_دی23[[#This Row],[تعداد فرزندان]]*حداقل_حقوق_پایه_روزانه)</f>
        <v/>
      </c>
      <c r="N354" s="46" t="str">
        <f>IF(ج_ح_دی23[[#This Row],[کارکرد]]="","",ج_ح_دی23[[#This Row],[کارکرد]]*حق_خواربار/30)</f>
        <v/>
      </c>
      <c r="O354" s="46" t="str">
        <f>IFERROR(ج_ح_دی23[[#This Row],[حقوق پایه]]+ج_ح_دی23[[#This Row],[اضافه کاری]]+ج_ح_دی23[[#This Row],[حق مسکن]]+ج_ح_دی23[[#This Row],[حق اولاد]]+ج_ح_دی23[[#This Row],[حق و خواروبار]],"")</f>
        <v/>
      </c>
      <c r="P354"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54" s="46" t="str">
        <f>IFERROR(ج_ح_دی23[[#This Row],[حقوق پایه]]+ج_ح_دی23[[#This Row],[اضافه کاری]]-(2/7)*ج_ح_دی23[[#This Row],[بیمه پرداختنی]],"")</f>
        <v/>
      </c>
      <c r="R354" s="45"/>
      <c r="S354" s="45"/>
      <c r="T354" s="46" t="str">
        <f>IFERROR(ج_ح_دی23[[#This Row],[جمع ح و م م بیمه ]]*7%,"")</f>
        <v/>
      </c>
      <c r="U354"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54" s="46" t="str">
        <f>IFERROR(ج_ح_دی23[[#This Row],[وام]]+ج_ح_دی23[[#This Row],[مساعده]]+ج_ح_دی23[[#This Row],[بیمه پرداختنی]]+ج_ح_دی23[[#This Row],[مالیات پرداختنی]],"")</f>
        <v/>
      </c>
      <c r="W354" s="46" t="str">
        <f>IFERROR(ج_ح_دی23[[#This Row],[جمع ح و م]]-ج_ح_دی23[[#This Row],[جمع کسورات]],"")</f>
        <v/>
      </c>
    </row>
    <row r="355" spans="2:23" s="41" customFormat="1" ht="32.1" customHeight="1">
      <c r="B355" s="41">
        <f t="shared" si="8"/>
        <v>10</v>
      </c>
      <c r="C355" s="42" t="str">
        <f>IF(ج_ح_دی23[[#This Row],[نام]]&lt;&gt;"",ROW()-340+1,"")</f>
        <v/>
      </c>
      <c r="D355" s="43"/>
      <c r="E355" s="43"/>
      <c r="F355" s="44"/>
      <c r="G355" s="45"/>
      <c r="H355" s="46" t="str">
        <f>IF(ج_ح_دی23[[#This Row],[کارکرد]]*ج_ح_دی23[[#This Row],[دستمزد روزانه ]]=0,"",ج_ح_دی23[[#This Row],[کارکرد]]*ج_ح_دی23[[#This Row],[دستمزد روزانه ]])</f>
        <v/>
      </c>
      <c r="I355" s="47"/>
      <c r="J355" s="48">
        <f>(ج_ح_دی23[[#This Row],[دستمزد روزانه ]]/7.33)*1.4*ج_ح_دی23[[#This Row],[مدت اضافه کاری ]]</f>
        <v>0</v>
      </c>
      <c r="K355" s="46" t="str">
        <f>IF(ج_ح_دی23[[#This Row],[کارکرد]]="","",ج_ح_دی23[[#This Row],[کارکرد]]*حق_مسکن/30)</f>
        <v/>
      </c>
      <c r="L355" s="49"/>
      <c r="M355" s="46" t="str">
        <f>IF(ج_ح_دی23[[#This Row],[تعداد فرزندان]]="","",ج_ح_دی23[[#This Row],[کارکرد]]/30*3*ج_ح_دی23[[#This Row],[تعداد فرزندان]]*حداقل_حقوق_پایه_روزانه)</f>
        <v/>
      </c>
      <c r="N355" s="46" t="str">
        <f>IF(ج_ح_دی23[[#This Row],[کارکرد]]="","",ج_ح_دی23[[#This Row],[کارکرد]]*حق_خواربار/30)</f>
        <v/>
      </c>
      <c r="O355" s="46" t="str">
        <f>IFERROR(ج_ح_دی23[[#This Row],[حقوق پایه]]+ج_ح_دی23[[#This Row],[اضافه کاری]]+ج_ح_دی23[[#This Row],[حق مسکن]]+ج_ح_دی23[[#This Row],[حق اولاد]]+ج_ح_دی23[[#This Row],[حق و خواروبار]],"")</f>
        <v/>
      </c>
      <c r="P355"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55" s="46" t="str">
        <f>IFERROR(ج_ح_دی23[[#This Row],[حقوق پایه]]+ج_ح_دی23[[#This Row],[اضافه کاری]]-(2/7)*ج_ح_دی23[[#This Row],[بیمه پرداختنی]],"")</f>
        <v/>
      </c>
      <c r="R355" s="45"/>
      <c r="S355" s="45"/>
      <c r="T355" s="46" t="str">
        <f>IFERROR(ج_ح_دی23[[#This Row],[جمع ح و م م بیمه ]]*7%,"")</f>
        <v/>
      </c>
      <c r="U355"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55" s="46" t="str">
        <f>IFERROR(ج_ح_دی23[[#This Row],[وام]]+ج_ح_دی23[[#This Row],[مساعده]]+ج_ح_دی23[[#This Row],[بیمه پرداختنی]]+ج_ح_دی23[[#This Row],[مالیات پرداختنی]],"")</f>
        <v/>
      </c>
      <c r="W355" s="46" t="str">
        <f>IFERROR(ج_ح_دی23[[#This Row],[جمع ح و م]]-ج_ح_دی23[[#This Row],[جمع کسورات]],"")</f>
        <v/>
      </c>
    </row>
    <row r="356" spans="2:23" s="41" customFormat="1" ht="32.1" customHeight="1">
      <c r="B356" s="41">
        <f t="shared" si="8"/>
        <v>10</v>
      </c>
      <c r="C356" s="42" t="str">
        <f>IF(ج_ح_دی23[[#This Row],[نام]]&lt;&gt;"",ROW()-340+1,"")</f>
        <v/>
      </c>
      <c r="D356" s="43"/>
      <c r="E356" s="43"/>
      <c r="F356" s="44"/>
      <c r="G356" s="45"/>
      <c r="H356" s="46" t="str">
        <f>IF(ج_ح_دی23[[#This Row],[کارکرد]]*ج_ح_دی23[[#This Row],[دستمزد روزانه ]]=0,"",ج_ح_دی23[[#This Row],[کارکرد]]*ج_ح_دی23[[#This Row],[دستمزد روزانه ]])</f>
        <v/>
      </c>
      <c r="I356" s="47"/>
      <c r="J356" s="48">
        <f>(ج_ح_دی23[[#This Row],[دستمزد روزانه ]]/7.33)*1.4*ج_ح_دی23[[#This Row],[مدت اضافه کاری ]]</f>
        <v>0</v>
      </c>
      <c r="K356" s="46" t="str">
        <f>IF(ج_ح_دی23[[#This Row],[کارکرد]]="","",ج_ح_دی23[[#This Row],[کارکرد]]*حق_مسکن/30)</f>
        <v/>
      </c>
      <c r="L356" s="49"/>
      <c r="M356" s="46" t="str">
        <f>IF(ج_ح_دی23[[#This Row],[تعداد فرزندان]]="","",ج_ح_دی23[[#This Row],[کارکرد]]/30*3*ج_ح_دی23[[#This Row],[تعداد فرزندان]]*حداقل_حقوق_پایه_روزانه)</f>
        <v/>
      </c>
      <c r="N356" s="46" t="str">
        <f>IF(ج_ح_دی23[[#This Row],[کارکرد]]="","",ج_ح_دی23[[#This Row],[کارکرد]]*حق_خواربار/30)</f>
        <v/>
      </c>
      <c r="O356" s="46" t="str">
        <f>IFERROR(ج_ح_دی23[[#This Row],[حقوق پایه]]+ج_ح_دی23[[#This Row],[اضافه کاری]]+ج_ح_دی23[[#This Row],[حق مسکن]]+ج_ح_دی23[[#This Row],[حق اولاد]]+ج_ح_دی23[[#This Row],[حق و خواروبار]],"")</f>
        <v/>
      </c>
      <c r="P356"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56" s="46" t="str">
        <f>IFERROR(ج_ح_دی23[[#This Row],[حقوق پایه]]+ج_ح_دی23[[#This Row],[اضافه کاری]]-(2/7)*ج_ح_دی23[[#This Row],[بیمه پرداختنی]],"")</f>
        <v/>
      </c>
      <c r="R356" s="45"/>
      <c r="S356" s="45"/>
      <c r="T356" s="46" t="str">
        <f>IFERROR(ج_ح_دی23[[#This Row],[جمع ح و م م بیمه ]]*7%,"")</f>
        <v/>
      </c>
      <c r="U356"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56" s="46" t="str">
        <f>IFERROR(ج_ح_دی23[[#This Row],[وام]]+ج_ح_دی23[[#This Row],[مساعده]]+ج_ح_دی23[[#This Row],[بیمه پرداختنی]]+ج_ح_دی23[[#This Row],[مالیات پرداختنی]],"")</f>
        <v/>
      </c>
      <c r="W356" s="46" t="str">
        <f>IFERROR(ج_ح_دی23[[#This Row],[جمع ح و م]]-ج_ح_دی23[[#This Row],[جمع کسورات]],"")</f>
        <v/>
      </c>
    </row>
    <row r="357" spans="2:23" s="41" customFormat="1" ht="32.1" customHeight="1">
      <c r="B357" s="41">
        <f t="shared" si="8"/>
        <v>10</v>
      </c>
      <c r="C357" s="42" t="str">
        <f>IF(ج_ح_دی23[[#This Row],[نام]]&lt;&gt;"",ROW()-340+1,"")</f>
        <v/>
      </c>
      <c r="D357" s="43"/>
      <c r="E357" s="43"/>
      <c r="F357" s="44"/>
      <c r="G357" s="45"/>
      <c r="H357" s="46" t="str">
        <f>IF(ج_ح_دی23[[#This Row],[کارکرد]]*ج_ح_دی23[[#This Row],[دستمزد روزانه ]]=0,"",ج_ح_دی23[[#This Row],[کارکرد]]*ج_ح_دی23[[#This Row],[دستمزد روزانه ]])</f>
        <v/>
      </c>
      <c r="I357" s="47"/>
      <c r="J357" s="48">
        <f>(ج_ح_دی23[[#This Row],[دستمزد روزانه ]]/7.33)*1.4*ج_ح_دی23[[#This Row],[مدت اضافه کاری ]]</f>
        <v>0</v>
      </c>
      <c r="K357" s="46" t="str">
        <f>IF(ج_ح_دی23[[#This Row],[کارکرد]]="","",ج_ح_دی23[[#This Row],[کارکرد]]*حق_مسکن/30)</f>
        <v/>
      </c>
      <c r="L357" s="49"/>
      <c r="M357" s="46" t="str">
        <f>IF(ج_ح_دی23[[#This Row],[تعداد فرزندان]]="","",ج_ح_دی23[[#This Row],[کارکرد]]/30*3*ج_ح_دی23[[#This Row],[تعداد فرزندان]]*حداقل_حقوق_پایه_روزانه)</f>
        <v/>
      </c>
      <c r="N357" s="46" t="str">
        <f>IF(ج_ح_دی23[[#This Row],[کارکرد]]="","",ج_ح_دی23[[#This Row],[کارکرد]]*حق_خواربار/30)</f>
        <v/>
      </c>
      <c r="O357" s="46" t="str">
        <f>IFERROR(ج_ح_دی23[[#This Row],[حقوق پایه]]+ج_ح_دی23[[#This Row],[اضافه کاری]]+ج_ح_دی23[[#This Row],[حق مسکن]]+ج_ح_دی23[[#This Row],[حق اولاد]]+ج_ح_دی23[[#This Row],[حق و خواروبار]],"")</f>
        <v/>
      </c>
      <c r="P357"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57" s="46" t="str">
        <f>IFERROR(ج_ح_دی23[[#This Row],[حقوق پایه]]+ج_ح_دی23[[#This Row],[اضافه کاری]]-(2/7)*ج_ح_دی23[[#This Row],[بیمه پرداختنی]],"")</f>
        <v/>
      </c>
      <c r="R357" s="45"/>
      <c r="S357" s="45"/>
      <c r="T357" s="46" t="str">
        <f>IFERROR(ج_ح_دی23[[#This Row],[جمع ح و م م بیمه ]]*7%,"")</f>
        <v/>
      </c>
      <c r="U357"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57" s="46" t="str">
        <f>IFERROR(ج_ح_دی23[[#This Row],[وام]]+ج_ح_دی23[[#This Row],[مساعده]]+ج_ح_دی23[[#This Row],[بیمه پرداختنی]]+ج_ح_دی23[[#This Row],[مالیات پرداختنی]],"")</f>
        <v/>
      </c>
      <c r="W357" s="46" t="str">
        <f>IFERROR(ج_ح_دی23[[#This Row],[جمع ح و م]]-ج_ح_دی23[[#This Row],[جمع کسورات]],"")</f>
        <v/>
      </c>
    </row>
    <row r="358" spans="2:23" s="41" customFormat="1" ht="32.1" customHeight="1">
      <c r="B358" s="41">
        <f t="shared" si="8"/>
        <v>10</v>
      </c>
      <c r="C358" s="42" t="str">
        <f>IF(ج_ح_دی23[[#This Row],[نام]]&lt;&gt;"",ROW()-340+1,"")</f>
        <v/>
      </c>
      <c r="D358" s="43"/>
      <c r="E358" s="43"/>
      <c r="F358" s="44"/>
      <c r="G358" s="45"/>
      <c r="H358" s="46" t="str">
        <f>IF(ج_ح_دی23[[#This Row],[کارکرد]]*ج_ح_دی23[[#This Row],[دستمزد روزانه ]]=0,"",ج_ح_دی23[[#This Row],[کارکرد]]*ج_ح_دی23[[#This Row],[دستمزد روزانه ]])</f>
        <v/>
      </c>
      <c r="I358" s="47"/>
      <c r="J358" s="48">
        <f>(ج_ح_دی23[[#This Row],[دستمزد روزانه ]]/7.33)*1.4*ج_ح_دی23[[#This Row],[مدت اضافه کاری ]]</f>
        <v>0</v>
      </c>
      <c r="K358" s="46" t="str">
        <f>IF(ج_ح_دی23[[#This Row],[کارکرد]]="","",ج_ح_دی23[[#This Row],[کارکرد]]*حق_مسکن/30)</f>
        <v/>
      </c>
      <c r="L358" s="49"/>
      <c r="M358" s="46" t="str">
        <f>IF(ج_ح_دی23[[#This Row],[تعداد فرزندان]]="","",ج_ح_دی23[[#This Row],[کارکرد]]/30*3*ج_ح_دی23[[#This Row],[تعداد فرزندان]]*حداقل_حقوق_پایه_روزانه)</f>
        <v/>
      </c>
      <c r="N358" s="46" t="str">
        <f>IF(ج_ح_دی23[[#This Row],[کارکرد]]="","",ج_ح_دی23[[#This Row],[کارکرد]]*حق_خواربار/30)</f>
        <v/>
      </c>
      <c r="O358" s="46" t="str">
        <f>IFERROR(ج_ح_دی23[[#This Row],[حقوق پایه]]+ج_ح_دی23[[#This Row],[اضافه کاری]]+ج_ح_دی23[[#This Row],[حق مسکن]]+ج_ح_دی23[[#This Row],[حق اولاد]]+ج_ح_دی23[[#This Row],[حق و خواروبار]],"")</f>
        <v/>
      </c>
      <c r="P358"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58" s="46" t="str">
        <f>IFERROR(ج_ح_دی23[[#This Row],[حقوق پایه]]+ج_ح_دی23[[#This Row],[اضافه کاری]]-(2/7)*ج_ح_دی23[[#This Row],[بیمه پرداختنی]],"")</f>
        <v/>
      </c>
      <c r="R358" s="45"/>
      <c r="S358" s="45"/>
      <c r="T358" s="46" t="str">
        <f>IFERROR(ج_ح_دی23[[#This Row],[جمع ح و م م بیمه ]]*7%,"")</f>
        <v/>
      </c>
      <c r="U358"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58" s="46" t="str">
        <f>IFERROR(ج_ح_دی23[[#This Row],[وام]]+ج_ح_دی23[[#This Row],[مساعده]]+ج_ح_دی23[[#This Row],[بیمه پرداختنی]]+ج_ح_دی23[[#This Row],[مالیات پرداختنی]],"")</f>
        <v/>
      </c>
      <c r="W358" s="46" t="str">
        <f>IFERROR(ج_ح_دی23[[#This Row],[جمع ح و م]]-ج_ح_دی23[[#This Row],[جمع کسورات]],"")</f>
        <v/>
      </c>
    </row>
    <row r="359" spans="2:23" s="41" customFormat="1" ht="32.1" customHeight="1">
      <c r="B359" s="41">
        <f t="shared" si="8"/>
        <v>10</v>
      </c>
      <c r="C359" s="42" t="str">
        <f>IF(ج_ح_دی23[[#This Row],[نام]]&lt;&gt;"",ROW()-340+1,"")</f>
        <v/>
      </c>
      <c r="D359" s="43"/>
      <c r="E359" s="43"/>
      <c r="F359" s="44"/>
      <c r="G359" s="45"/>
      <c r="H359" s="46" t="str">
        <f>IF(ج_ح_دی23[[#This Row],[کارکرد]]*ج_ح_دی23[[#This Row],[دستمزد روزانه ]]=0,"",ج_ح_دی23[[#This Row],[کارکرد]]*ج_ح_دی23[[#This Row],[دستمزد روزانه ]])</f>
        <v/>
      </c>
      <c r="I359" s="47"/>
      <c r="J359" s="48">
        <f>(ج_ح_دی23[[#This Row],[دستمزد روزانه ]]/7.33)*1.4*ج_ح_دی23[[#This Row],[مدت اضافه کاری ]]</f>
        <v>0</v>
      </c>
      <c r="K359" s="46" t="str">
        <f>IF(ج_ح_دی23[[#This Row],[کارکرد]]="","",ج_ح_دی23[[#This Row],[کارکرد]]*حق_مسکن/30)</f>
        <v/>
      </c>
      <c r="L359" s="49"/>
      <c r="M359" s="46" t="str">
        <f>IF(ج_ح_دی23[[#This Row],[تعداد فرزندان]]="","",ج_ح_دی23[[#This Row],[کارکرد]]/30*3*ج_ح_دی23[[#This Row],[تعداد فرزندان]]*حداقل_حقوق_پایه_روزانه)</f>
        <v/>
      </c>
      <c r="N359" s="46" t="str">
        <f>IF(ج_ح_دی23[[#This Row],[کارکرد]]="","",ج_ح_دی23[[#This Row],[کارکرد]]*حق_خواربار/30)</f>
        <v/>
      </c>
      <c r="O359" s="46" t="str">
        <f>IFERROR(ج_ح_دی23[[#This Row],[حقوق پایه]]+ج_ح_دی23[[#This Row],[اضافه کاری]]+ج_ح_دی23[[#This Row],[حق مسکن]]+ج_ح_دی23[[#This Row],[حق اولاد]]+ج_ح_دی23[[#This Row],[حق و خواروبار]],"")</f>
        <v/>
      </c>
      <c r="P359"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59" s="46" t="str">
        <f>IFERROR(ج_ح_دی23[[#This Row],[حقوق پایه]]+ج_ح_دی23[[#This Row],[اضافه کاری]]-(2/7)*ج_ح_دی23[[#This Row],[بیمه پرداختنی]],"")</f>
        <v/>
      </c>
      <c r="R359" s="45"/>
      <c r="S359" s="45"/>
      <c r="T359" s="46" t="str">
        <f>IFERROR(ج_ح_دی23[[#This Row],[جمع ح و م م بیمه ]]*7%,"")</f>
        <v/>
      </c>
      <c r="U359"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59" s="46" t="str">
        <f>IFERROR(ج_ح_دی23[[#This Row],[وام]]+ج_ح_دی23[[#This Row],[مساعده]]+ج_ح_دی23[[#This Row],[بیمه پرداختنی]]+ج_ح_دی23[[#This Row],[مالیات پرداختنی]],"")</f>
        <v/>
      </c>
      <c r="W359" s="46" t="str">
        <f>IFERROR(ج_ح_دی23[[#This Row],[جمع ح و م]]-ج_ح_دی23[[#This Row],[جمع کسورات]],"")</f>
        <v/>
      </c>
    </row>
    <row r="360" spans="2:23" s="41" customFormat="1" ht="32.1" customHeight="1">
      <c r="B360" s="41">
        <f t="shared" si="8"/>
        <v>10</v>
      </c>
      <c r="C360" s="42" t="str">
        <f>IF(ج_ح_دی23[[#This Row],[نام]]&lt;&gt;"",ROW()-340+1,"")</f>
        <v/>
      </c>
      <c r="D360" s="43"/>
      <c r="E360" s="43"/>
      <c r="F360" s="44"/>
      <c r="G360" s="45"/>
      <c r="H360" s="46" t="str">
        <f>IF(ج_ح_دی23[[#This Row],[کارکرد]]*ج_ح_دی23[[#This Row],[دستمزد روزانه ]]=0,"",ج_ح_دی23[[#This Row],[کارکرد]]*ج_ح_دی23[[#This Row],[دستمزد روزانه ]])</f>
        <v/>
      </c>
      <c r="I360" s="47"/>
      <c r="J360" s="48">
        <f>(ج_ح_دی23[[#This Row],[دستمزد روزانه ]]/7.33)*1.4*ج_ح_دی23[[#This Row],[مدت اضافه کاری ]]</f>
        <v>0</v>
      </c>
      <c r="K360" s="46" t="str">
        <f>IF(ج_ح_دی23[[#This Row],[کارکرد]]="","",ج_ح_دی23[[#This Row],[کارکرد]]*حق_مسکن/30)</f>
        <v/>
      </c>
      <c r="L360" s="49"/>
      <c r="M360" s="46" t="str">
        <f>IF(ج_ح_دی23[[#This Row],[تعداد فرزندان]]="","",ج_ح_دی23[[#This Row],[کارکرد]]/30*3*ج_ح_دی23[[#This Row],[تعداد فرزندان]]*حداقل_حقوق_پایه_روزانه)</f>
        <v/>
      </c>
      <c r="N360" s="46" t="str">
        <f>IF(ج_ح_دی23[[#This Row],[کارکرد]]="","",ج_ح_دی23[[#This Row],[کارکرد]]*حق_خواربار/30)</f>
        <v/>
      </c>
      <c r="O360" s="46" t="str">
        <f>IFERROR(ج_ح_دی23[[#This Row],[حقوق پایه]]+ج_ح_دی23[[#This Row],[اضافه کاری]]+ج_ح_دی23[[#This Row],[حق مسکن]]+ج_ح_دی23[[#This Row],[حق اولاد]]+ج_ح_دی23[[#This Row],[حق و خواروبار]],"")</f>
        <v/>
      </c>
      <c r="P360"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60" s="46" t="str">
        <f>IFERROR(ج_ح_دی23[[#This Row],[حقوق پایه]]+ج_ح_دی23[[#This Row],[اضافه کاری]]-(2/7)*ج_ح_دی23[[#This Row],[بیمه پرداختنی]],"")</f>
        <v/>
      </c>
      <c r="R360" s="45"/>
      <c r="S360" s="45"/>
      <c r="T360" s="46" t="str">
        <f>IFERROR(ج_ح_دی23[[#This Row],[جمع ح و م م بیمه ]]*7%,"")</f>
        <v/>
      </c>
      <c r="U360"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60" s="46" t="str">
        <f>IFERROR(ج_ح_دی23[[#This Row],[وام]]+ج_ح_دی23[[#This Row],[مساعده]]+ج_ح_دی23[[#This Row],[بیمه پرداختنی]]+ج_ح_دی23[[#This Row],[مالیات پرداختنی]],"")</f>
        <v/>
      </c>
      <c r="W360" s="46" t="str">
        <f>IFERROR(ج_ح_دی23[[#This Row],[جمع ح و م]]-ج_ح_دی23[[#This Row],[جمع کسورات]],"")</f>
        <v/>
      </c>
    </row>
    <row r="361" spans="2:23" s="41" customFormat="1" ht="32.1" customHeight="1">
      <c r="B361" s="41">
        <f t="shared" si="8"/>
        <v>10</v>
      </c>
      <c r="C361" s="42" t="str">
        <f>IF(ج_ح_دی23[[#This Row],[نام]]&lt;&gt;"",ROW()-340+1,"")</f>
        <v/>
      </c>
      <c r="D361" s="43"/>
      <c r="E361" s="43"/>
      <c r="F361" s="44"/>
      <c r="G361" s="45"/>
      <c r="H361" s="46" t="str">
        <f>IF(ج_ح_دی23[[#This Row],[کارکرد]]*ج_ح_دی23[[#This Row],[دستمزد روزانه ]]=0,"",ج_ح_دی23[[#This Row],[کارکرد]]*ج_ح_دی23[[#This Row],[دستمزد روزانه ]])</f>
        <v/>
      </c>
      <c r="I361" s="47"/>
      <c r="J361" s="48">
        <f>(ج_ح_دی23[[#This Row],[دستمزد روزانه ]]/7.33)*1.4*ج_ح_دی23[[#This Row],[مدت اضافه کاری ]]</f>
        <v>0</v>
      </c>
      <c r="K361" s="46" t="str">
        <f>IF(ج_ح_دی23[[#This Row],[کارکرد]]="","",ج_ح_دی23[[#This Row],[کارکرد]]*حق_مسکن/30)</f>
        <v/>
      </c>
      <c r="L361" s="49"/>
      <c r="M361" s="46" t="str">
        <f>IF(ج_ح_دی23[[#This Row],[تعداد فرزندان]]="","",ج_ح_دی23[[#This Row],[کارکرد]]/30*3*ج_ح_دی23[[#This Row],[تعداد فرزندان]]*حداقل_حقوق_پایه_روزانه)</f>
        <v/>
      </c>
      <c r="N361" s="46" t="str">
        <f>IF(ج_ح_دی23[[#This Row],[کارکرد]]="","",ج_ح_دی23[[#This Row],[کارکرد]]*حق_خواربار/30)</f>
        <v/>
      </c>
      <c r="O361" s="46" t="str">
        <f>IFERROR(ج_ح_دی23[[#This Row],[حقوق پایه]]+ج_ح_دی23[[#This Row],[اضافه کاری]]+ج_ح_دی23[[#This Row],[حق مسکن]]+ج_ح_دی23[[#This Row],[حق اولاد]]+ج_ح_دی23[[#This Row],[حق و خواروبار]],"")</f>
        <v/>
      </c>
      <c r="P361"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61" s="46" t="str">
        <f>IFERROR(ج_ح_دی23[[#This Row],[حقوق پایه]]+ج_ح_دی23[[#This Row],[اضافه کاری]]-(2/7)*ج_ح_دی23[[#This Row],[بیمه پرداختنی]],"")</f>
        <v/>
      </c>
      <c r="R361" s="45"/>
      <c r="S361" s="45"/>
      <c r="T361" s="46" t="str">
        <f>IFERROR(ج_ح_دی23[[#This Row],[جمع ح و م م بیمه ]]*7%,"")</f>
        <v/>
      </c>
      <c r="U361"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61" s="46" t="str">
        <f>IFERROR(ج_ح_دی23[[#This Row],[وام]]+ج_ح_دی23[[#This Row],[مساعده]]+ج_ح_دی23[[#This Row],[بیمه پرداختنی]]+ج_ح_دی23[[#This Row],[مالیات پرداختنی]],"")</f>
        <v/>
      </c>
      <c r="W361" s="46" t="str">
        <f>IFERROR(ج_ح_دی23[[#This Row],[جمع ح و م]]-ج_ح_دی23[[#This Row],[جمع کسورات]],"")</f>
        <v/>
      </c>
    </row>
    <row r="362" spans="2:23" s="41" customFormat="1" ht="32.1" customHeight="1">
      <c r="B362" s="41">
        <f t="shared" si="8"/>
        <v>10</v>
      </c>
      <c r="C362" s="42" t="str">
        <f>IF(ج_ح_دی23[[#This Row],[نام]]&lt;&gt;"",ROW()-340+1,"")</f>
        <v/>
      </c>
      <c r="D362" s="43"/>
      <c r="E362" s="43"/>
      <c r="F362" s="44"/>
      <c r="G362" s="45"/>
      <c r="H362" s="46" t="str">
        <f>IF(ج_ح_دی23[[#This Row],[کارکرد]]*ج_ح_دی23[[#This Row],[دستمزد روزانه ]]=0,"",ج_ح_دی23[[#This Row],[کارکرد]]*ج_ح_دی23[[#This Row],[دستمزد روزانه ]])</f>
        <v/>
      </c>
      <c r="I362" s="47"/>
      <c r="J362" s="48">
        <f>(ج_ح_دی23[[#This Row],[دستمزد روزانه ]]/7.33)*1.4*ج_ح_دی23[[#This Row],[مدت اضافه کاری ]]</f>
        <v>0</v>
      </c>
      <c r="K362" s="46" t="str">
        <f>IF(ج_ح_دی23[[#This Row],[کارکرد]]="","",ج_ح_دی23[[#This Row],[کارکرد]]*حق_مسکن/30)</f>
        <v/>
      </c>
      <c r="L362" s="49"/>
      <c r="M362" s="46" t="str">
        <f>IF(ج_ح_دی23[[#This Row],[تعداد فرزندان]]="","",ج_ح_دی23[[#This Row],[کارکرد]]/30*3*ج_ح_دی23[[#This Row],[تعداد فرزندان]]*حداقل_حقوق_پایه_روزانه)</f>
        <v/>
      </c>
      <c r="N362" s="46" t="str">
        <f>IF(ج_ح_دی23[[#This Row],[کارکرد]]="","",ج_ح_دی23[[#This Row],[کارکرد]]*حق_خواربار/30)</f>
        <v/>
      </c>
      <c r="O362" s="46" t="str">
        <f>IFERROR(ج_ح_دی23[[#This Row],[حقوق پایه]]+ج_ح_دی23[[#This Row],[اضافه کاری]]+ج_ح_دی23[[#This Row],[حق مسکن]]+ج_ح_دی23[[#This Row],[حق اولاد]]+ج_ح_دی23[[#This Row],[حق و خواروبار]],"")</f>
        <v/>
      </c>
      <c r="P362"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62" s="46" t="str">
        <f>IFERROR(ج_ح_دی23[[#This Row],[حقوق پایه]]+ج_ح_دی23[[#This Row],[اضافه کاری]]-(2/7)*ج_ح_دی23[[#This Row],[بیمه پرداختنی]],"")</f>
        <v/>
      </c>
      <c r="R362" s="45"/>
      <c r="S362" s="45"/>
      <c r="T362" s="46" t="str">
        <f>IFERROR(ج_ح_دی23[[#This Row],[جمع ح و م م بیمه ]]*7%,"")</f>
        <v/>
      </c>
      <c r="U362"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62" s="46" t="str">
        <f>IFERROR(ج_ح_دی23[[#This Row],[وام]]+ج_ح_دی23[[#This Row],[مساعده]]+ج_ح_دی23[[#This Row],[بیمه پرداختنی]]+ج_ح_دی23[[#This Row],[مالیات پرداختنی]],"")</f>
        <v/>
      </c>
      <c r="W362" s="46" t="str">
        <f>IFERROR(ج_ح_دی23[[#This Row],[جمع ح و م]]-ج_ح_دی23[[#This Row],[جمع کسورات]],"")</f>
        <v/>
      </c>
    </row>
    <row r="363" spans="2:23" s="41" customFormat="1" ht="32.1" customHeight="1">
      <c r="B363" s="41">
        <f t="shared" si="8"/>
        <v>10</v>
      </c>
      <c r="C363" s="42" t="str">
        <f>IF(ج_ح_دی23[[#This Row],[نام]]&lt;&gt;"",ROW()-340+1,"")</f>
        <v/>
      </c>
      <c r="D363" s="43"/>
      <c r="E363" s="43"/>
      <c r="F363" s="44"/>
      <c r="G363" s="45"/>
      <c r="H363" s="46" t="str">
        <f>IF(ج_ح_دی23[[#This Row],[کارکرد]]*ج_ح_دی23[[#This Row],[دستمزد روزانه ]]=0,"",ج_ح_دی23[[#This Row],[کارکرد]]*ج_ح_دی23[[#This Row],[دستمزد روزانه ]])</f>
        <v/>
      </c>
      <c r="I363" s="47"/>
      <c r="J363" s="48">
        <f>(ج_ح_دی23[[#This Row],[دستمزد روزانه ]]/7.33)*1.4*ج_ح_دی23[[#This Row],[مدت اضافه کاری ]]</f>
        <v>0</v>
      </c>
      <c r="K363" s="46" t="str">
        <f>IF(ج_ح_دی23[[#This Row],[کارکرد]]="","",ج_ح_دی23[[#This Row],[کارکرد]]*حق_مسکن/30)</f>
        <v/>
      </c>
      <c r="L363" s="49"/>
      <c r="M363" s="46" t="str">
        <f>IF(ج_ح_دی23[[#This Row],[تعداد فرزندان]]="","",ج_ح_دی23[[#This Row],[کارکرد]]/30*3*ج_ح_دی23[[#This Row],[تعداد فرزندان]]*حداقل_حقوق_پایه_روزانه)</f>
        <v/>
      </c>
      <c r="N363" s="46" t="str">
        <f>IF(ج_ح_دی23[[#This Row],[کارکرد]]="","",ج_ح_دی23[[#This Row],[کارکرد]]*حق_خواربار/30)</f>
        <v/>
      </c>
      <c r="O363" s="46" t="str">
        <f>IFERROR(ج_ح_دی23[[#This Row],[حقوق پایه]]+ج_ح_دی23[[#This Row],[اضافه کاری]]+ج_ح_دی23[[#This Row],[حق مسکن]]+ج_ح_دی23[[#This Row],[حق اولاد]]+ج_ح_دی23[[#This Row],[حق و خواروبار]],"")</f>
        <v/>
      </c>
      <c r="P363"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63" s="46" t="str">
        <f>IFERROR(ج_ح_دی23[[#This Row],[حقوق پایه]]+ج_ح_دی23[[#This Row],[اضافه کاری]]-(2/7)*ج_ح_دی23[[#This Row],[بیمه پرداختنی]],"")</f>
        <v/>
      </c>
      <c r="R363" s="45"/>
      <c r="S363" s="45"/>
      <c r="T363" s="46" t="str">
        <f>IFERROR(ج_ح_دی23[[#This Row],[جمع ح و م م بیمه ]]*7%,"")</f>
        <v/>
      </c>
      <c r="U363"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63" s="46" t="str">
        <f>IFERROR(ج_ح_دی23[[#This Row],[وام]]+ج_ح_دی23[[#This Row],[مساعده]]+ج_ح_دی23[[#This Row],[بیمه پرداختنی]]+ج_ح_دی23[[#This Row],[مالیات پرداختنی]],"")</f>
        <v/>
      </c>
      <c r="W363" s="46" t="str">
        <f>IFERROR(ج_ح_دی23[[#This Row],[جمع ح و م]]-ج_ح_دی23[[#This Row],[جمع کسورات]],"")</f>
        <v/>
      </c>
    </row>
    <row r="364" spans="2:23" s="41" customFormat="1" ht="32.1" customHeight="1">
      <c r="B364" s="41">
        <f t="shared" si="8"/>
        <v>10</v>
      </c>
      <c r="C364" s="42" t="str">
        <f>IF(ج_ح_دی23[[#This Row],[نام]]&lt;&gt;"",ROW()-340+1,"")</f>
        <v/>
      </c>
      <c r="D364" s="43"/>
      <c r="E364" s="43"/>
      <c r="F364" s="44"/>
      <c r="G364" s="45"/>
      <c r="H364" s="46" t="str">
        <f>IF(ج_ح_دی23[[#This Row],[کارکرد]]*ج_ح_دی23[[#This Row],[دستمزد روزانه ]]=0,"",ج_ح_دی23[[#This Row],[کارکرد]]*ج_ح_دی23[[#This Row],[دستمزد روزانه ]])</f>
        <v/>
      </c>
      <c r="I364" s="47"/>
      <c r="J364" s="48">
        <f>(ج_ح_دی23[[#This Row],[دستمزد روزانه ]]/7.33)*1.4*ج_ح_دی23[[#This Row],[مدت اضافه کاری ]]</f>
        <v>0</v>
      </c>
      <c r="K364" s="46" t="str">
        <f>IF(ج_ح_دی23[[#This Row],[کارکرد]]="","",ج_ح_دی23[[#This Row],[کارکرد]]*حق_مسکن/30)</f>
        <v/>
      </c>
      <c r="L364" s="49"/>
      <c r="M364" s="46" t="str">
        <f>IF(ج_ح_دی23[[#This Row],[تعداد فرزندان]]="","",ج_ح_دی23[[#This Row],[کارکرد]]/30*3*ج_ح_دی23[[#This Row],[تعداد فرزندان]]*حداقل_حقوق_پایه_روزانه)</f>
        <v/>
      </c>
      <c r="N364" s="46" t="str">
        <f>IF(ج_ح_دی23[[#This Row],[کارکرد]]="","",ج_ح_دی23[[#This Row],[کارکرد]]*حق_خواربار/30)</f>
        <v/>
      </c>
      <c r="O364" s="46" t="str">
        <f>IFERROR(ج_ح_دی23[[#This Row],[حقوق پایه]]+ج_ح_دی23[[#This Row],[اضافه کاری]]+ج_ح_دی23[[#This Row],[حق مسکن]]+ج_ح_دی23[[#This Row],[حق اولاد]]+ج_ح_دی23[[#This Row],[حق و خواروبار]],"")</f>
        <v/>
      </c>
      <c r="P364"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64" s="46" t="str">
        <f>IFERROR(ج_ح_دی23[[#This Row],[حقوق پایه]]+ج_ح_دی23[[#This Row],[اضافه کاری]]-(2/7)*ج_ح_دی23[[#This Row],[بیمه پرداختنی]],"")</f>
        <v/>
      </c>
      <c r="R364" s="45"/>
      <c r="S364" s="45"/>
      <c r="T364" s="46" t="str">
        <f>IFERROR(ج_ح_دی23[[#This Row],[جمع ح و م م بیمه ]]*7%,"")</f>
        <v/>
      </c>
      <c r="U364"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64" s="46" t="str">
        <f>IFERROR(ج_ح_دی23[[#This Row],[وام]]+ج_ح_دی23[[#This Row],[مساعده]]+ج_ح_دی23[[#This Row],[بیمه پرداختنی]]+ج_ح_دی23[[#This Row],[مالیات پرداختنی]],"")</f>
        <v/>
      </c>
      <c r="W364" s="46" t="str">
        <f>IFERROR(ج_ح_دی23[[#This Row],[جمع ح و م]]-ج_ح_دی23[[#This Row],[جمع کسورات]],"")</f>
        <v/>
      </c>
    </row>
    <row r="365" spans="2:23" s="41" customFormat="1" ht="32.1" customHeight="1">
      <c r="B365" s="41">
        <f t="shared" si="8"/>
        <v>10</v>
      </c>
      <c r="C365" s="42" t="str">
        <f>IF(ج_ح_دی23[[#This Row],[نام]]&lt;&gt;"",ROW()-340+1,"")</f>
        <v/>
      </c>
      <c r="D365" s="43"/>
      <c r="E365" s="43"/>
      <c r="F365" s="44"/>
      <c r="G365" s="45"/>
      <c r="H365" s="46" t="str">
        <f>IF(ج_ح_دی23[[#This Row],[کارکرد]]*ج_ح_دی23[[#This Row],[دستمزد روزانه ]]=0,"",ج_ح_دی23[[#This Row],[کارکرد]]*ج_ح_دی23[[#This Row],[دستمزد روزانه ]])</f>
        <v/>
      </c>
      <c r="I365" s="47"/>
      <c r="J365" s="48">
        <f>(ج_ح_دی23[[#This Row],[دستمزد روزانه ]]/7.33)*1.4*ج_ح_دی23[[#This Row],[مدت اضافه کاری ]]</f>
        <v>0</v>
      </c>
      <c r="K365" s="46" t="str">
        <f>IF(ج_ح_دی23[[#This Row],[کارکرد]]="","",ج_ح_دی23[[#This Row],[کارکرد]]*حق_مسکن/30)</f>
        <v/>
      </c>
      <c r="L365" s="49"/>
      <c r="M365" s="46" t="str">
        <f>IF(ج_ح_دی23[[#This Row],[تعداد فرزندان]]="","",ج_ح_دی23[[#This Row],[کارکرد]]/30*3*ج_ح_دی23[[#This Row],[تعداد فرزندان]]*حداقل_حقوق_پایه_روزانه)</f>
        <v/>
      </c>
      <c r="N365" s="46" t="str">
        <f>IF(ج_ح_دی23[[#This Row],[کارکرد]]="","",ج_ح_دی23[[#This Row],[کارکرد]]*حق_خواربار/30)</f>
        <v/>
      </c>
      <c r="O365" s="46" t="str">
        <f>IFERROR(ج_ح_دی23[[#This Row],[حقوق پایه]]+ج_ح_دی23[[#This Row],[اضافه کاری]]+ج_ح_دی23[[#This Row],[حق مسکن]]+ج_ح_دی23[[#This Row],[حق اولاد]]+ج_ح_دی23[[#This Row],[حق و خواروبار]],"")</f>
        <v/>
      </c>
      <c r="P365"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65" s="46" t="str">
        <f>IFERROR(ج_ح_دی23[[#This Row],[حقوق پایه]]+ج_ح_دی23[[#This Row],[اضافه کاری]]-(2/7)*ج_ح_دی23[[#This Row],[بیمه پرداختنی]],"")</f>
        <v/>
      </c>
      <c r="R365" s="45"/>
      <c r="S365" s="45"/>
      <c r="T365" s="46" t="str">
        <f>IFERROR(ج_ح_دی23[[#This Row],[جمع ح و م م بیمه ]]*7%,"")</f>
        <v/>
      </c>
      <c r="U365"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65" s="46" t="str">
        <f>IFERROR(ج_ح_دی23[[#This Row],[وام]]+ج_ح_دی23[[#This Row],[مساعده]]+ج_ح_دی23[[#This Row],[بیمه پرداختنی]]+ج_ح_دی23[[#This Row],[مالیات پرداختنی]],"")</f>
        <v/>
      </c>
      <c r="W365" s="46" t="str">
        <f>IFERROR(ج_ح_دی23[[#This Row],[جمع ح و م]]-ج_ح_دی23[[#This Row],[جمع کسورات]],"")</f>
        <v/>
      </c>
    </row>
    <row r="366" spans="2:23" s="41" customFormat="1" ht="32.1" customHeight="1">
      <c r="B366" s="41">
        <f t="shared" si="8"/>
        <v>10</v>
      </c>
      <c r="C366" s="42" t="str">
        <f>IF(ج_ح_دی23[[#This Row],[نام]]&lt;&gt;"",ROW()-340+1,"")</f>
        <v/>
      </c>
      <c r="D366" s="43"/>
      <c r="E366" s="43"/>
      <c r="F366" s="44"/>
      <c r="G366" s="45"/>
      <c r="H366" s="46" t="str">
        <f>IF(ج_ح_دی23[[#This Row],[کارکرد]]*ج_ح_دی23[[#This Row],[دستمزد روزانه ]]=0,"",ج_ح_دی23[[#This Row],[کارکرد]]*ج_ح_دی23[[#This Row],[دستمزد روزانه ]])</f>
        <v/>
      </c>
      <c r="I366" s="47"/>
      <c r="J366" s="48">
        <f>(ج_ح_دی23[[#This Row],[دستمزد روزانه ]]/7.33)*1.4*ج_ح_دی23[[#This Row],[مدت اضافه کاری ]]</f>
        <v>0</v>
      </c>
      <c r="K366" s="46" t="str">
        <f>IF(ج_ح_دی23[[#This Row],[کارکرد]]="","",ج_ح_دی23[[#This Row],[کارکرد]]*حق_مسکن/30)</f>
        <v/>
      </c>
      <c r="L366" s="49"/>
      <c r="M366" s="46" t="str">
        <f>IF(ج_ح_دی23[[#This Row],[تعداد فرزندان]]="","",ج_ح_دی23[[#This Row],[کارکرد]]/30*3*ج_ح_دی23[[#This Row],[تعداد فرزندان]]*حداقل_حقوق_پایه_روزانه)</f>
        <v/>
      </c>
      <c r="N366" s="46" t="str">
        <f>IF(ج_ح_دی23[[#This Row],[کارکرد]]="","",ج_ح_دی23[[#This Row],[کارکرد]]*حق_خواربار/30)</f>
        <v/>
      </c>
      <c r="O366" s="46" t="str">
        <f>IFERROR(ج_ح_دی23[[#This Row],[حقوق پایه]]+ج_ح_دی23[[#This Row],[اضافه کاری]]+ج_ح_دی23[[#This Row],[حق مسکن]]+ج_ح_دی23[[#This Row],[حق اولاد]]+ج_ح_دی23[[#This Row],[حق و خواروبار]],"")</f>
        <v/>
      </c>
      <c r="P366"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66" s="46" t="str">
        <f>IFERROR(ج_ح_دی23[[#This Row],[حقوق پایه]]+ج_ح_دی23[[#This Row],[اضافه کاری]]-(2/7)*ج_ح_دی23[[#This Row],[بیمه پرداختنی]],"")</f>
        <v/>
      </c>
      <c r="R366" s="45"/>
      <c r="S366" s="45"/>
      <c r="T366" s="46" t="str">
        <f>IFERROR(ج_ح_دی23[[#This Row],[جمع ح و م م بیمه ]]*7%,"")</f>
        <v/>
      </c>
      <c r="U366"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66" s="46" t="str">
        <f>IFERROR(ج_ح_دی23[[#This Row],[وام]]+ج_ح_دی23[[#This Row],[مساعده]]+ج_ح_دی23[[#This Row],[بیمه پرداختنی]]+ج_ح_دی23[[#This Row],[مالیات پرداختنی]],"")</f>
        <v/>
      </c>
      <c r="W366" s="46" t="str">
        <f>IFERROR(ج_ح_دی23[[#This Row],[جمع ح و م]]-ج_ح_دی23[[#This Row],[جمع کسورات]],"")</f>
        <v/>
      </c>
    </row>
    <row r="367" spans="2:23" s="41" customFormat="1" ht="32.1" customHeight="1">
      <c r="B367" s="41">
        <f t="shared" si="8"/>
        <v>10</v>
      </c>
      <c r="C367" s="42" t="str">
        <f>IF(ج_ح_دی23[[#This Row],[نام]]&lt;&gt;"",ROW()-340+1,"")</f>
        <v/>
      </c>
      <c r="D367" s="43"/>
      <c r="E367" s="43"/>
      <c r="F367" s="44"/>
      <c r="G367" s="45"/>
      <c r="H367" s="46" t="str">
        <f>IF(ج_ح_دی23[[#This Row],[کارکرد]]*ج_ح_دی23[[#This Row],[دستمزد روزانه ]]=0,"",ج_ح_دی23[[#This Row],[کارکرد]]*ج_ح_دی23[[#This Row],[دستمزد روزانه ]])</f>
        <v/>
      </c>
      <c r="I367" s="47"/>
      <c r="J367" s="48">
        <f>(ج_ح_دی23[[#This Row],[دستمزد روزانه ]]/7.33)*1.4*ج_ح_دی23[[#This Row],[مدت اضافه کاری ]]</f>
        <v>0</v>
      </c>
      <c r="K367" s="46" t="str">
        <f>IF(ج_ح_دی23[[#This Row],[کارکرد]]="","",ج_ح_دی23[[#This Row],[کارکرد]]*حق_مسکن/30)</f>
        <v/>
      </c>
      <c r="L367" s="49"/>
      <c r="M367" s="46" t="str">
        <f>IF(ج_ح_دی23[[#This Row],[تعداد فرزندان]]="","",ج_ح_دی23[[#This Row],[کارکرد]]/30*3*ج_ح_دی23[[#This Row],[تعداد فرزندان]]*حداقل_حقوق_پایه_روزانه)</f>
        <v/>
      </c>
      <c r="N367" s="46" t="str">
        <f>IF(ج_ح_دی23[[#This Row],[کارکرد]]="","",ج_ح_دی23[[#This Row],[کارکرد]]*حق_خواربار/30)</f>
        <v/>
      </c>
      <c r="O367" s="46" t="str">
        <f>IFERROR(ج_ح_دی23[[#This Row],[حقوق پایه]]+ج_ح_دی23[[#This Row],[اضافه کاری]]+ج_ح_دی23[[#This Row],[حق مسکن]]+ج_ح_دی23[[#This Row],[حق اولاد]]+ج_ح_دی23[[#This Row],[حق و خواروبار]],"")</f>
        <v/>
      </c>
      <c r="P367"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67" s="46" t="str">
        <f>IFERROR(ج_ح_دی23[[#This Row],[حقوق پایه]]+ج_ح_دی23[[#This Row],[اضافه کاری]]-(2/7)*ج_ح_دی23[[#This Row],[بیمه پرداختنی]],"")</f>
        <v/>
      </c>
      <c r="R367" s="45"/>
      <c r="S367" s="45"/>
      <c r="T367" s="46" t="str">
        <f>IFERROR(ج_ح_دی23[[#This Row],[جمع ح و م م بیمه ]]*7%,"")</f>
        <v/>
      </c>
      <c r="U367"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67" s="46" t="str">
        <f>IFERROR(ج_ح_دی23[[#This Row],[وام]]+ج_ح_دی23[[#This Row],[مساعده]]+ج_ح_دی23[[#This Row],[بیمه پرداختنی]]+ج_ح_دی23[[#This Row],[مالیات پرداختنی]],"")</f>
        <v/>
      </c>
      <c r="W367" s="46" t="str">
        <f>IFERROR(ج_ح_دی23[[#This Row],[جمع ح و م]]-ج_ح_دی23[[#This Row],[جمع کسورات]],"")</f>
        <v/>
      </c>
    </row>
    <row r="368" spans="2:23" s="41" customFormat="1" ht="32.1" customHeight="1">
      <c r="B368" s="41">
        <f t="shared" si="8"/>
        <v>10</v>
      </c>
      <c r="C368" s="42" t="str">
        <f>IF(ج_ح_دی23[[#This Row],[نام]]&lt;&gt;"",ROW()-340+1,"")</f>
        <v/>
      </c>
      <c r="D368" s="43"/>
      <c r="E368" s="43"/>
      <c r="F368" s="44"/>
      <c r="G368" s="45"/>
      <c r="H368" s="46" t="str">
        <f>IF(ج_ح_دی23[[#This Row],[کارکرد]]*ج_ح_دی23[[#This Row],[دستمزد روزانه ]]=0,"",ج_ح_دی23[[#This Row],[کارکرد]]*ج_ح_دی23[[#This Row],[دستمزد روزانه ]])</f>
        <v/>
      </c>
      <c r="I368" s="47"/>
      <c r="J368" s="48">
        <f>(ج_ح_دی23[[#This Row],[دستمزد روزانه ]]/7.33)*1.4*ج_ح_دی23[[#This Row],[مدت اضافه کاری ]]</f>
        <v>0</v>
      </c>
      <c r="K368" s="46" t="str">
        <f>IF(ج_ح_دی23[[#This Row],[کارکرد]]="","",ج_ح_دی23[[#This Row],[کارکرد]]*حق_مسکن/30)</f>
        <v/>
      </c>
      <c r="L368" s="49"/>
      <c r="M368" s="46" t="str">
        <f>IF(ج_ح_دی23[[#This Row],[تعداد فرزندان]]="","",ج_ح_دی23[[#This Row],[کارکرد]]/30*3*ج_ح_دی23[[#This Row],[تعداد فرزندان]]*حداقل_حقوق_پایه_روزانه)</f>
        <v/>
      </c>
      <c r="N368" s="46" t="str">
        <f>IF(ج_ح_دی23[[#This Row],[کارکرد]]="","",ج_ح_دی23[[#This Row],[کارکرد]]*حق_خواربار/30)</f>
        <v/>
      </c>
      <c r="O368" s="46" t="str">
        <f>IFERROR(ج_ح_دی23[[#This Row],[حقوق پایه]]+ج_ح_دی23[[#This Row],[اضافه کاری]]+ج_ح_دی23[[#This Row],[حق مسکن]]+ج_ح_دی23[[#This Row],[حق اولاد]]+ج_ح_دی23[[#This Row],[حق و خواروبار]],"")</f>
        <v/>
      </c>
      <c r="P368"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68" s="46" t="str">
        <f>IFERROR(ج_ح_دی23[[#This Row],[حقوق پایه]]+ج_ح_دی23[[#This Row],[اضافه کاری]]-(2/7)*ج_ح_دی23[[#This Row],[بیمه پرداختنی]],"")</f>
        <v/>
      </c>
      <c r="R368" s="45"/>
      <c r="S368" s="45"/>
      <c r="T368" s="46" t="str">
        <f>IFERROR(ج_ح_دی23[[#This Row],[جمع ح و م م بیمه ]]*7%,"")</f>
        <v/>
      </c>
      <c r="U368"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68" s="46" t="str">
        <f>IFERROR(ج_ح_دی23[[#This Row],[وام]]+ج_ح_دی23[[#This Row],[مساعده]]+ج_ح_دی23[[#This Row],[بیمه پرداختنی]]+ج_ح_دی23[[#This Row],[مالیات پرداختنی]],"")</f>
        <v/>
      </c>
      <c r="W368" s="46" t="str">
        <f>IFERROR(ج_ح_دی23[[#This Row],[جمع ح و م]]-ج_ح_دی23[[#This Row],[جمع کسورات]],"")</f>
        <v/>
      </c>
    </row>
    <row r="369" spans="1:23" s="41" customFormat="1" ht="32.1" customHeight="1">
      <c r="B369" s="41">
        <f t="shared" si="8"/>
        <v>10</v>
      </c>
      <c r="C369" s="42" t="str">
        <f>IF(ج_ح_دی23[[#This Row],[نام]]&lt;&gt;"",ROW()-340+1,"")</f>
        <v/>
      </c>
      <c r="D369" s="43"/>
      <c r="E369" s="43"/>
      <c r="F369" s="44"/>
      <c r="G369" s="45"/>
      <c r="H369" s="46" t="str">
        <f>IF(ج_ح_دی23[[#This Row],[کارکرد]]*ج_ح_دی23[[#This Row],[دستمزد روزانه ]]=0,"",ج_ح_دی23[[#This Row],[کارکرد]]*ج_ح_دی23[[#This Row],[دستمزد روزانه ]])</f>
        <v/>
      </c>
      <c r="I369" s="47"/>
      <c r="J369" s="48">
        <f>(ج_ح_دی23[[#This Row],[دستمزد روزانه ]]/7.33)*1.4*ج_ح_دی23[[#This Row],[مدت اضافه کاری ]]</f>
        <v>0</v>
      </c>
      <c r="K369" s="46" t="str">
        <f>IF(ج_ح_دی23[[#This Row],[کارکرد]]="","",ج_ح_دی23[[#This Row],[کارکرد]]*حق_مسکن/30)</f>
        <v/>
      </c>
      <c r="L369" s="49"/>
      <c r="M369" s="46" t="str">
        <f>IF(ج_ح_دی23[[#This Row],[تعداد فرزندان]]="","",ج_ح_دی23[[#This Row],[کارکرد]]/30*3*ج_ح_دی23[[#This Row],[تعداد فرزندان]]*حداقل_حقوق_پایه_روزانه)</f>
        <v/>
      </c>
      <c r="N369" s="46" t="str">
        <f>IF(ج_ح_دی23[[#This Row],[کارکرد]]="","",ج_ح_دی23[[#This Row],[کارکرد]]*حق_خواربار/30)</f>
        <v/>
      </c>
      <c r="O369" s="46" t="str">
        <f>IFERROR(ج_ح_دی23[[#This Row],[حقوق پایه]]+ج_ح_دی23[[#This Row],[اضافه کاری]]+ج_ح_دی23[[#This Row],[حق مسکن]]+ج_ح_دی23[[#This Row],[حق اولاد]]+ج_ح_دی23[[#This Row],[حق و خواروبار]],"")</f>
        <v/>
      </c>
      <c r="P369" s="46" t="str">
        <f>IFERROR(IF(ج_ح_دی23[[#This Row],[حقوق پایه]]+ج_ح_دی23[[#This Row],[اضافه کاری]]+ج_ح_دی23[[#This Row],[حق مسکن]]+ج_ح_دی23[[#This Row],[حق و خواروبار]]&gt;حداکثر_حقوق_مشمول_بیمه_ماهانه,حداکثر_حقوق_مشمول_بیمه_ماهانه,ج_ح_دی23[[#This Row],[حقوق پایه]]+ج_ح_دی23[[#This Row],[اضافه کاری]]+ج_ح_دی23[[#This Row],[حق مسکن]]+ج_ح_دی23[[#This Row],[حق و خواروبار]]),"")</f>
        <v/>
      </c>
      <c r="Q369" s="46" t="str">
        <f>IFERROR(ج_ح_دی23[[#This Row],[حقوق پایه]]+ج_ح_دی23[[#This Row],[اضافه کاری]]-(2/7)*ج_ح_دی23[[#This Row],[بیمه پرداختنی]],"")</f>
        <v/>
      </c>
      <c r="R369" s="45"/>
      <c r="S369" s="45"/>
      <c r="T369" s="46" t="str">
        <f>IFERROR(ج_ح_دی23[[#This Row],[جمع ح و م م بیمه ]]*7%,"")</f>
        <v/>
      </c>
      <c r="U369" s="50" t="str">
        <f>IFERROR(IF(ج_ح_دی23[[#This Row],[جمع ح و م م مالیات]]&gt;=320000000,(ج_ح_دی23[[#This Row],[جمع ح و م م مالیات]]-320000000)*35%+61000000,
IF(ج_ح_دی23[[#This Row],[جمع ح و م م مالیات]]&gt;=240000000,(ج_ح_دی23[[#This Row],[جمع ح و م م مالیات]]-240000000)*30%+37000000,
IF(ج_ح_دی23[[#This Row],[جمع ح و م م مالیات]]&gt;=180000000,(ج_ح_دی23[[#This Row],[جمع ح و م م مالیات]]-180000000)*25%+22000000,
IF(ج_ح_دی23[[#This Row],[جمع ح و م م مالیات]]&gt;=120000000,(ج_ح_دی23[[#This Row],[جمع ح و م م مالیات]]-120000000)*20%+10000000,
IF(ج_ح_دی23[[#This Row],[جمع ح و م م مالیات]]&gt;=80000000,(ج_ح_دی23[[#This Row],[جمع ح و م م مالیات]]-80000000)*15%+4000000,
IF(ج_ح_دی23[[#This Row],[جمع ح و م م مالیات]]&gt;=40000000,(ج_ح_دی23[[#This Row],[جمع ح و م م مالیات]]-40000000)*10%,0)))))),"")</f>
        <v/>
      </c>
      <c r="V369" s="46" t="str">
        <f>IFERROR(ج_ح_دی23[[#This Row],[وام]]+ج_ح_دی23[[#This Row],[مساعده]]+ج_ح_دی23[[#This Row],[بیمه پرداختنی]]+ج_ح_دی23[[#This Row],[مالیات پرداختنی]],"")</f>
        <v/>
      </c>
      <c r="W369" s="46" t="str">
        <f>IFERROR(ج_ح_دی23[[#This Row],[جمع ح و م]]-ج_ح_دی23[[#This Row],[جمع کسورات]],"")</f>
        <v/>
      </c>
    </row>
    <row r="370" spans="1:23" ht="32.1" customHeight="1">
      <c r="B370" s="32">
        <f t="shared" si="8"/>
        <v>10</v>
      </c>
      <c r="C370" s="58"/>
      <c r="D370" s="59"/>
      <c r="E370" s="59" t="s">
        <v>124</v>
      </c>
      <c r="F370" s="60">
        <f>SUBTOTAL(109,ج_ح_دی23[کارکرد])</f>
        <v>30</v>
      </c>
      <c r="G370" s="61">
        <f>SUBTOTAL(109,ج_ح_دی23[[دستمزد روزانه ]])</f>
        <v>1000000</v>
      </c>
      <c r="H370" s="61">
        <f>SUBTOTAL(109,ج_ح_دی23[حقوق پایه])</f>
        <v>30000000</v>
      </c>
      <c r="I370" s="62">
        <f>SUBTOTAL(109,ج_ح_دی23[[مدت اضافه کاری ]])</f>
        <v>7.33</v>
      </c>
      <c r="J370" s="63">
        <f>SUBTOTAL(109,ج_ح_دی23[اضافه کاری])</f>
        <v>1400000</v>
      </c>
      <c r="K370" s="61">
        <f>SUBTOTAL(109,ج_ح_دی23[حق مسکن])</f>
        <v>0</v>
      </c>
      <c r="L370" s="64">
        <f>SUBTOTAL(109,ج_ح_دی23[تعداد فرزندان])</f>
        <v>1</v>
      </c>
      <c r="M370" s="61">
        <f>SUBTOTAL(109,ج_ح_دی23[حق اولاد])</f>
        <v>0</v>
      </c>
      <c r="N370" s="61">
        <f>SUBTOTAL(109,ج_ح_دی23[حق و خواروبار])</f>
        <v>0</v>
      </c>
      <c r="O370" s="61">
        <f>SUBTOTAL(109,ج_ح_دی23[جمع ح و م])</f>
        <v>31400000</v>
      </c>
      <c r="P370" s="61">
        <f>SUBTOTAL(109,ج_ح_دی23[[جمع ح و م م بیمه ]])</f>
        <v>0</v>
      </c>
      <c r="Q370" s="61">
        <f>SUBTOTAL(109,ج_ح_دی23[جمع ح و م م مالیات])</f>
        <v>0</v>
      </c>
      <c r="R370" s="61">
        <f>SUBTOTAL(109,ج_ح_دی23[وام])</f>
        <v>0</v>
      </c>
      <c r="S370" s="61">
        <f>SUBTOTAL(109,ج_ح_دی23[مساعده])</f>
        <v>0</v>
      </c>
      <c r="T370" s="61">
        <f>SUBTOTAL(109,ج_ح_دی23[بیمه پرداختنی])</f>
        <v>0</v>
      </c>
      <c r="U370" s="61">
        <f>SUBTOTAL(109,ج_ح_دی23[مالیات پرداختنی])</f>
        <v>0</v>
      </c>
      <c r="V370" s="61">
        <f>SUBTOTAL(109,ج_ح_دی23[جمع کسورات])</f>
        <v>0</v>
      </c>
      <c r="W370" s="61">
        <f>SUBTOTAL(109,ج_ح_دی23[خالص قابل پرداخت])</f>
        <v>0</v>
      </c>
    </row>
    <row r="371" spans="1:23" ht="8.1" customHeight="1"/>
    <row r="372" spans="1:23" s="33" customFormat="1" ht="39.950000000000003" customHeight="1">
      <c r="A372" s="34"/>
      <c r="B372" s="34"/>
      <c r="C372" s="107" t="s">
        <v>94</v>
      </c>
      <c r="D372" s="107"/>
      <c r="E372" s="107"/>
      <c r="F372" s="107"/>
      <c r="G372" s="107"/>
      <c r="H372" s="107"/>
      <c r="I372" s="107"/>
      <c r="J372" s="107"/>
      <c r="K372" s="107"/>
      <c r="L372" s="107"/>
      <c r="M372" s="107"/>
      <c r="N372" s="107"/>
      <c r="O372" s="107"/>
      <c r="P372" s="107"/>
      <c r="Q372" s="107"/>
      <c r="R372" s="107"/>
      <c r="S372" s="107"/>
      <c r="T372" s="107"/>
      <c r="U372" s="107"/>
      <c r="V372" s="107"/>
      <c r="W372" s="107"/>
    </row>
    <row r="373" spans="1:23" s="33" customFormat="1" ht="50.1" customHeight="1">
      <c r="C373" s="108" t="s">
        <v>135</v>
      </c>
      <c r="D373" s="108"/>
      <c r="E373" s="108"/>
      <c r="F373" s="108"/>
      <c r="G373" s="108"/>
      <c r="H373" s="108"/>
      <c r="I373" s="108"/>
      <c r="J373" s="108"/>
      <c r="K373" s="108"/>
      <c r="L373" s="108"/>
      <c r="M373" s="108"/>
      <c r="N373" s="108"/>
      <c r="O373" s="108"/>
      <c r="P373" s="108"/>
      <c r="Q373" s="108"/>
      <c r="R373" s="108"/>
      <c r="S373" s="108"/>
      <c r="T373" s="108"/>
      <c r="U373" s="108"/>
      <c r="V373" s="108"/>
      <c r="W373" s="108"/>
    </row>
    <row r="374" spans="1:23" s="35" customFormat="1" ht="50.1" customHeight="1">
      <c r="C374" s="104" t="s">
        <v>45</v>
      </c>
      <c r="D374" s="36" t="s">
        <v>96</v>
      </c>
      <c r="E374" s="36" t="s">
        <v>97</v>
      </c>
      <c r="F374" s="36" t="s">
        <v>98</v>
      </c>
      <c r="G374" s="36" t="s">
        <v>99</v>
      </c>
      <c r="H374" s="36" t="s">
        <v>100</v>
      </c>
      <c r="I374" s="36" t="s">
        <v>101</v>
      </c>
      <c r="J374" s="36" t="s">
        <v>102</v>
      </c>
      <c r="K374" s="36" t="s">
        <v>17</v>
      </c>
      <c r="L374" s="36" t="s">
        <v>103</v>
      </c>
      <c r="M374" s="36" t="s">
        <v>104</v>
      </c>
      <c r="N374" s="36" t="s">
        <v>105</v>
      </c>
      <c r="O374" s="36" t="s">
        <v>106</v>
      </c>
      <c r="P374" s="36" t="s">
        <v>107</v>
      </c>
      <c r="Q374" s="36" t="s">
        <v>108</v>
      </c>
      <c r="R374" s="36" t="s">
        <v>109</v>
      </c>
      <c r="S374" s="36" t="s">
        <v>110</v>
      </c>
      <c r="T374" s="36" t="s">
        <v>111</v>
      </c>
      <c r="U374" s="36" t="s">
        <v>112</v>
      </c>
      <c r="V374" s="36" t="s">
        <v>113</v>
      </c>
      <c r="W374" s="36" t="s">
        <v>114</v>
      </c>
    </row>
    <row r="375" spans="1:23" s="33" customFormat="1" ht="32.1" customHeight="1">
      <c r="C375" s="104"/>
      <c r="D375" s="37">
        <v>1</v>
      </c>
      <c r="E375" s="37">
        <v>2</v>
      </c>
      <c r="F375" s="37">
        <v>3</v>
      </c>
      <c r="G375" s="37">
        <v>4</v>
      </c>
      <c r="H375" s="37">
        <v>5</v>
      </c>
      <c r="I375" s="37">
        <v>6</v>
      </c>
      <c r="J375" s="37">
        <v>7</v>
      </c>
      <c r="K375" s="37">
        <v>8</v>
      </c>
      <c r="L375" s="37">
        <v>9</v>
      </c>
      <c r="M375" s="37">
        <v>10</v>
      </c>
      <c r="N375" s="37">
        <v>11</v>
      </c>
      <c r="O375" s="37">
        <v>12</v>
      </c>
      <c r="P375" s="37">
        <v>13</v>
      </c>
      <c r="Q375" s="37">
        <v>14</v>
      </c>
      <c r="R375" s="37">
        <v>15</v>
      </c>
      <c r="S375" s="37">
        <v>16</v>
      </c>
      <c r="T375" s="37">
        <v>17</v>
      </c>
      <c r="U375" s="37">
        <v>18</v>
      </c>
      <c r="V375" s="37">
        <v>19</v>
      </c>
      <c r="W375" s="38">
        <v>20</v>
      </c>
    </row>
    <row r="376" spans="1:23" s="33" customFormat="1" ht="20.100000000000001" customHeight="1">
      <c r="C376" s="39" t="s">
        <v>45</v>
      </c>
      <c r="D376" s="39" t="s">
        <v>96</v>
      </c>
      <c r="E376" s="39" t="s">
        <v>97</v>
      </c>
      <c r="F376" s="39" t="s">
        <v>98</v>
      </c>
      <c r="G376" s="39" t="s">
        <v>99</v>
      </c>
      <c r="H376" s="39" t="s">
        <v>100</v>
      </c>
      <c r="I376" s="39" t="s">
        <v>115</v>
      </c>
      <c r="J376" s="39" t="s">
        <v>102</v>
      </c>
      <c r="K376" s="39" t="s">
        <v>17</v>
      </c>
      <c r="L376" s="39" t="s">
        <v>116</v>
      </c>
      <c r="M376" s="39" t="s">
        <v>104</v>
      </c>
      <c r="N376" s="39" t="s">
        <v>117</v>
      </c>
      <c r="O376" s="39" t="s">
        <v>118</v>
      </c>
      <c r="P376" s="39" t="s">
        <v>119</v>
      </c>
      <c r="Q376" s="40" t="s">
        <v>120</v>
      </c>
      <c r="R376" s="39" t="s">
        <v>109</v>
      </c>
      <c r="S376" s="39" t="s">
        <v>110</v>
      </c>
      <c r="T376" s="40" t="s">
        <v>121</v>
      </c>
      <c r="U376" s="40" t="s">
        <v>14</v>
      </c>
      <c r="V376" s="39" t="s">
        <v>113</v>
      </c>
      <c r="W376" s="39" t="s">
        <v>122</v>
      </c>
    </row>
    <row r="377" spans="1:23" s="41" customFormat="1" ht="32.1" customHeight="1">
      <c r="B377" s="41">
        <f>B370+1</f>
        <v>11</v>
      </c>
      <c r="C377" s="42">
        <f>IF(ج_ح_بهمن24[[#This Row],[نام]]&lt;&gt;"",ROW()-377+1,"")</f>
        <v>1</v>
      </c>
      <c r="D377" s="43" t="s">
        <v>123</v>
      </c>
      <c r="E377" s="43" t="s">
        <v>123</v>
      </c>
      <c r="F377" s="44">
        <v>30</v>
      </c>
      <c r="G377" s="45">
        <v>1000000</v>
      </c>
      <c r="H377" s="46">
        <f>IF(ج_ح_بهمن24[[#This Row],[کارکرد]]*ج_ح_بهمن24[[#This Row],[دستمزد روزانه ]]=0,"",ج_ح_بهمن24[[#This Row],[کارکرد]]*ج_ح_بهمن24[[#This Row],[دستمزد روزانه ]])</f>
        <v>30000000</v>
      </c>
      <c r="I377" s="47">
        <v>7.33</v>
      </c>
      <c r="J377" s="48">
        <f>(ج_ح_بهمن24[[#This Row],[دستمزد روزانه ]]/7.33)*1.4*ج_ح_بهمن24[[#This Row],[مدت اضافه کاری ]]</f>
        <v>1400000</v>
      </c>
      <c r="K377" s="46">
        <f>IF(ج_ح_بهمن24[[#This Row],[کارکرد]]="","",ج_ح_بهمن24[[#This Row],[کارکرد]]*حق_مسکن/30)</f>
        <v>0</v>
      </c>
      <c r="L377" s="49">
        <v>1</v>
      </c>
      <c r="M377" s="46">
        <f>IF(ج_ح_بهمن24[[#This Row],[تعداد فرزندان]]="","",ج_ح_بهمن24[[#This Row],[کارکرد]]/30*3*ج_ح_بهمن24[[#This Row],[تعداد فرزندان]]*حداقل_حقوق_پایه_روزانه)</f>
        <v>0</v>
      </c>
      <c r="N377" s="46">
        <f>IF(ج_ح_بهمن24[[#This Row],[کارکرد]]="","",ج_ح_بهمن24[[#This Row],[کارکرد]]*حق_خواربار/30)</f>
        <v>0</v>
      </c>
      <c r="O377" s="46">
        <f>IFERROR(ج_ح_بهمن24[[#This Row],[حقوق پایه]]+ج_ح_بهمن24[[#This Row],[اضافه کاری]]+ج_ح_بهمن24[[#This Row],[حق مسکن]]+ج_ح_بهمن24[[#This Row],[حق اولاد]]+ج_ح_بهمن24[[#This Row],[حق و خواروبار]],"")</f>
        <v>31400000</v>
      </c>
      <c r="P377"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77" s="46" t="str">
        <f>IFERROR(ج_ح_بهمن24[[#This Row],[حقوق پایه]]+ج_ح_بهمن24[[#This Row],[اضافه کاری]]-(2/7)*ج_ح_بهمن24[[#This Row],[بیمه پرداختنی]],"")</f>
        <v/>
      </c>
      <c r="R377" s="45"/>
      <c r="S377" s="45"/>
      <c r="T377" s="46" t="str">
        <f>IFERROR(ج_ح_بهمن24[[#This Row],[جمع ح و م م بیمه ]]*7%,"")</f>
        <v/>
      </c>
      <c r="U377"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77" s="46" t="str">
        <f>IFERROR(ج_ح_بهمن24[[#This Row],[وام]]+ج_ح_بهمن24[[#This Row],[مساعده]]+ج_ح_بهمن24[[#This Row],[بیمه پرداختنی]]+ج_ح_بهمن24[[#This Row],[مالیات پرداختنی]],"")</f>
        <v/>
      </c>
      <c r="W377" s="46" t="str">
        <f>IFERROR(ج_ح_بهمن24[[#This Row],[جمع ح و م]]-ج_ح_بهمن24[[#This Row],[جمع کسورات]],"")</f>
        <v/>
      </c>
    </row>
    <row r="378" spans="1:23" s="41" customFormat="1" ht="32.1" customHeight="1">
      <c r="B378" s="41">
        <f>B377</f>
        <v>11</v>
      </c>
      <c r="C378" s="42" t="str">
        <f>IF(ج_ح_بهمن24[[#This Row],[نام]]&lt;&gt;"",ROW()-377+1,"")</f>
        <v/>
      </c>
      <c r="D378" s="43"/>
      <c r="E378" s="43"/>
      <c r="F378" s="44"/>
      <c r="G378" s="45"/>
      <c r="H378" s="46" t="str">
        <f>IF(ج_ح_بهمن24[[#This Row],[کارکرد]]*ج_ح_بهمن24[[#This Row],[دستمزد روزانه ]]=0,"",ج_ح_بهمن24[[#This Row],[کارکرد]]*ج_ح_بهمن24[[#This Row],[دستمزد روزانه ]])</f>
        <v/>
      </c>
      <c r="I378" s="47"/>
      <c r="J378" s="48">
        <f>(ج_ح_بهمن24[[#This Row],[دستمزد روزانه ]]/7.33)*1.4*ج_ح_بهمن24[[#This Row],[مدت اضافه کاری ]]</f>
        <v>0</v>
      </c>
      <c r="K378" s="46" t="str">
        <f>IF(ج_ح_بهمن24[[#This Row],[کارکرد]]="","",ج_ح_بهمن24[[#This Row],[کارکرد]]*حق_مسکن/30)</f>
        <v/>
      </c>
      <c r="L378" s="49"/>
      <c r="M378" s="46" t="str">
        <f>IF(ج_ح_بهمن24[[#This Row],[تعداد فرزندان]]="","",ج_ح_بهمن24[[#This Row],[کارکرد]]/30*3*ج_ح_بهمن24[[#This Row],[تعداد فرزندان]]*حداقل_حقوق_پایه_روزانه)</f>
        <v/>
      </c>
      <c r="N378" s="46" t="str">
        <f>IF(ج_ح_بهمن24[[#This Row],[کارکرد]]="","",ج_ح_بهمن24[[#This Row],[کارکرد]]*حق_خواربار/30)</f>
        <v/>
      </c>
      <c r="O378" s="46" t="str">
        <f>IFERROR(ج_ح_بهمن24[[#This Row],[حقوق پایه]]+ج_ح_بهمن24[[#This Row],[اضافه کاری]]+ج_ح_بهمن24[[#This Row],[حق مسکن]]+ج_ح_بهمن24[[#This Row],[حق اولاد]]+ج_ح_بهمن24[[#This Row],[حق و خواروبار]],"")</f>
        <v/>
      </c>
      <c r="P378"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78" s="46" t="str">
        <f>IFERROR(ج_ح_بهمن24[[#This Row],[حقوق پایه]]+ج_ح_بهمن24[[#This Row],[اضافه کاری]]-(2/7)*ج_ح_بهمن24[[#This Row],[بیمه پرداختنی]],"")</f>
        <v/>
      </c>
      <c r="R378" s="45"/>
      <c r="S378" s="45"/>
      <c r="T378" s="46" t="str">
        <f>IFERROR(ج_ح_بهمن24[[#This Row],[جمع ح و م م بیمه ]]*7%,"")</f>
        <v/>
      </c>
      <c r="U378"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78" s="46" t="str">
        <f>IFERROR(ج_ح_بهمن24[[#This Row],[وام]]+ج_ح_بهمن24[[#This Row],[مساعده]]+ج_ح_بهمن24[[#This Row],[بیمه پرداختنی]]+ج_ح_بهمن24[[#This Row],[مالیات پرداختنی]],"")</f>
        <v/>
      </c>
      <c r="W378" s="46" t="str">
        <f>IFERROR(ج_ح_بهمن24[[#This Row],[جمع ح و م]]-ج_ح_بهمن24[[#This Row],[جمع کسورات]],"")</f>
        <v/>
      </c>
    </row>
    <row r="379" spans="1:23" s="41" customFormat="1" ht="32.1" customHeight="1">
      <c r="B379" s="41">
        <f t="shared" ref="B379:B407" si="9">B378</f>
        <v>11</v>
      </c>
      <c r="C379" s="42" t="str">
        <f>IF(ج_ح_بهمن24[[#This Row],[نام]]&lt;&gt;"",ROW()-377+1,"")</f>
        <v/>
      </c>
      <c r="D379" s="43"/>
      <c r="E379" s="43"/>
      <c r="F379" s="44"/>
      <c r="G379" s="45"/>
      <c r="H379" s="46" t="str">
        <f>IF(ج_ح_بهمن24[[#This Row],[کارکرد]]*ج_ح_بهمن24[[#This Row],[دستمزد روزانه ]]=0,"",ج_ح_بهمن24[[#This Row],[کارکرد]]*ج_ح_بهمن24[[#This Row],[دستمزد روزانه ]])</f>
        <v/>
      </c>
      <c r="I379" s="47"/>
      <c r="J379" s="48">
        <f>(ج_ح_بهمن24[[#This Row],[دستمزد روزانه ]]/7.33)*1.4*ج_ح_بهمن24[[#This Row],[مدت اضافه کاری ]]</f>
        <v>0</v>
      </c>
      <c r="K379" s="46" t="str">
        <f>IF(ج_ح_بهمن24[[#This Row],[کارکرد]]="","",ج_ح_بهمن24[[#This Row],[کارکرد]]*حق_مسکن/30)</f>
        <v/>
      </c>
      <c r="L379" s="49"/>
      <c r="M379" s="46" t="str">
        <f>IF(ج_ح_بهمن24[[#This Row],[تعداد فرزندان]]="","",ج_ح_بهمن24[[#This Row],[کارکرد]]/30*3*ج_ح_بهمن24[[#This Row],[تعداد فرزندان]]*حداقل_حقوق_پایه_روزانه)</f>
        <v/>
      </c>
      <c r="N379" s="46" t="str">
        <f>IF(ج_ح_بهمن24[[#This Row],[کارکرد]]="","",ج_ح_بهمن24[[#This Row],[کارکرد]]*حق_خواربار/30)</f>
        <v/>
      </c>
      <c r="O379" s="46" t="str">
        <f>IFERROR(ج_ح_بهمن24[[#This Row],[حقوق پایه]]+ج_ح_بهمن24[[#This Row],[اضافه کاری]]+ج_ح_بهمن24[[#This Row],[حق مسکن]]+ج_ح_بهمن24[[#This Row],[حق اولاد]]+ج_ح_بهمن24[[#This Row],[حق و خواروبار]],"")</f>
        <v/>
      </c>
      <c r="P379"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79" s="46" t="str">
        <f>IFERROR(ج_ح_بهمن24[[#This Row],[حقوق پایه]]+ج_ح_بهمن24[[#This Row],[اضافه کاری]]-(2/7)*ج_ح_بهمن24[[#This Row],[بیمه پرداختنی]],"")</f>
        <v/>
      </c>
      <c r="R379" s="45"/>
      <c r="S379" s="45"/>
      <c r="T379" s="46" t="str">
        <f>IFERROR(ج_ح_بهمن24[[#This Row],[جمع ح و م م بیمه ]]*7%,"")</f>
        <v/>
      </c>
      <c r="U379"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79" s="46" t="str">
        <f>IFERROR(ج_ح_بهمن24[[#This Row],[وام]]+ج_ح_بهمن24[[#This Row],[مساعده]]+ج_ح_بهمن24[[#This Row],[بیمه پرداختنی]]+ج_ح_بهمن24[[#This Row],[مالیات پرداختنی]],"")</f>
        <v/>
      </c>
      <c r="W379" s="46" t="str">
        <f>IFERROR(ج_ح_بهمن24[[#This Row],[جمع ح و م]]-ج_ح_بهمن24[[#This Row],[جمع کسورات]],"")</f>
        <v/>
      </c>
    </row>
    <row r="380" spans="1:23" s="41" customFormat="1" ht="32.1" customHeight="1">
      <c r="B380" s="41">
        <f t="shared" si="9"/>
        <v>11</v>
      </c>
      <c r="C380" s="42" t="str">
        <f>IF(ج_ح_بهمن24[[#This Row],[نام]]&lt;&gt;"",ROW()-377+1,"")</f>
        <v/>
      </c>
      <c r="D380" s="43"/>
      <c r="E380" s="43"/>
      <c r="F380" s="44"/>
      <c r="G380" s="45"/>
      <c r="H380" s="46" t="str">
        <f>IF(ج_ح_بهمن24[[#This Row],[کارکرد]]*ج_ح_بهمن24[[#This Row],[دستمزد روزانه ]]=0,"",ج_ح_بهمن24[[#This Row],[کارکرد]]*ج_ح_بهمن24[[#This Row],[دستمزد روزانه ]])</f>
        <v/>
      </c>
      <c r="I380" s="47"/>
      <c r="J380" s="48">
        <f>(ج_ح_بهمن24[[#This Row],[دستمزد روزانه ]]/7.33)*1.4*ج_ح_بهمن24[[#This Row],[مدت اضافه کاری ]]</f>
        <v>0</v>
      </c>
      <c r="K380" s="46" t="str">
        <f>IF(ج_ح_بهمن24[[#This Row],[کارکرد]]="","",ج_ح_بهمن24[[#This Row],[کارکرد]]*حق_مسکن/30)</f>
        <v/>
      </c>
      <c r="L380" s="49"/>
      <c r="M380" s="46" t="str">
        <f>IF(ج_ح_بهمن24[[#This Row],[تعداد فرزندان]]="","",ج_ح_بهمن24[[#This Row],[کارکرد]]/30*3*ج_ح_بهمن24[[#This Row],[تعداد فرزندان]]*حداقل_حقوق_پایه_روزانه)</f>
        <v/>
      </c>
      <c r="N380" s="46" t="str">
        <f>IF(ج_ح_بهمن24[[#This Row],[کارکرد]]="","",ج_ح_بهمن24[[#This Row],[کارکرد]]*حق_خواربار/30)</f>
        <v/>
      </c>
      <c r="O380" s="46" t="str">
        <f>IFERROR(ج_ح_بهمن24[[#This Row],[حقوق پایه]]+ج_ح_بهمن24[[#This Row],[اضافه کاری]]+ج_ح_بهمن24[[#This Row],[حق مسکن]]+ج_ح_بهمن24[[#This Row],[حق اولاد]]+ج_ح_بهمن24[[#This Row],[حق و خواروبار]],"")</f>
        <v/>
      </c>
      <c r="P380"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80" s="46" t="str">
        <f>IFERROR(ج_ح_بهمن24[[#This Row],[حقوق پایه]]+ج_ح_بهمن24[[#This Row],[اضافه کاری]]-(2/7)*ج_ح_بهمن24[[#This Row],[بیمه پرداختنی]],"")</f>
        <v/>
      </c>
      <c r="R380" s="45"/>
      <c r="S380" s="45"/>
      <c r="T380" s="46" t="str">
        <f>IFERROR(ج_ح_بهمن24[[#This Row],[جمع ح و م م بیمه ]]*7%,"")</f>
        <v/>
      </c>
      <c r="U380"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80" s="46" t="str">
        <f>IFERROR(ج_ح_بهمن24[[#This Row],[وام]]+ج_ح_بهمن24[[#This Row],[مساعده]]+ج_ح_بهمن24[[#This Row],[بیمه پرداختنی]]+ج_ح_بهمن24[[#This Row],[مالیات پرداختنی]],"")</f>
        <v/>
      </c>
      <c r="W380" s="46" t="str">
        <f>IFERROR(ج_ح_بهمن24[[#This Row],[جمع ح و م]]-ج_ح_بهمن24[[#This Row],[جمع کسورات]],"")</f>
        <v/>
      </c>
    </row>
    <row r="381" spans="1:23" s="41" customFormat="1" ht="32.1" customHeight="1">
      <c r="B381" s="41">
        <f t="shared" si="9"/>
        <v>11</v>
      </c>
      <c r="C381" s="42" t="str">
        <f>IF(ج_ح_بهمن24[[#This Row],[نام]]&lt;&gt;"",ROW()-377+1,"")</f>
        <v/>
      </c>
      <c r="D381" s="43"/>
      <c r="E381" s="43"/>
      <c r="F381" s="44"/>
      <c r="G381" s="45"/>
      <c r="H381" s="46" t="str">
        <f>IF(ج_ح_بهمن24[[#This Row],[کارکرد]]*ج_ح_بهمن24[[#This Row],[دستمزد روزانه ]]=0,"",ج_ح_بهمن24[[#This Row],[کارکرد]]*ج_ح_بهمن24[[#This Row],[دستمزد روزانه ]])</f>
        <v/>
      </c>
      <c r="I381" s="47"/>
      <c r="J381" s="48">
        <f>(ج_ح_بهمن24[[#This Row],[دستمزد روزانه ]]/7.33)*1.4*ج_ح_بهمن24[[#This Row],[مدت اضافه کاری ]]</f>
        <v>0</v>
      </c>
      <c r="K381" s="46" t="str">
        <f>IF(ج_ح_بهمن24[[#This Row],[کارکرد]]="","",ج_ح_بهمن24[[#This Row],[کارکرد]]*حق_مسکن/30)</f>
        <v/>
      </c>
      <c r="L381" s="49"/>
      <c r="M381" s="46" t="str">
        <f>IF(ج_ح_بهمن24[[#This Row],[تعداد فرزندان]]="","",ج_ح_بهمن24[[#This Row],[کارکرد]]/30*3*ج_ح_بهمن24[[#This Row],[تعداد فرزندان]]*حداقل_حقوق_پایه_روزانه)</f>
        <v/>
      </c>
      <c r="N381" s="46" t="str">
        <f>IF(ج_ح_بهمن24[[#This Row],[کارکرد]]="","",ج_ح_بهمن24[[#This Row],[کارکرد]]*حق_خواربار/30)</f>
        <v/>
      </c>
      <c r="O381" s="46" t="str">
        <f>IFERROR(ج_ح_بهمن24[[#This Row],[حقوق پایه]]+ج_ح_بهمن24[[#This Row],[اضافه کاری]]+ج_ح_بهمن24[[#This Row],[حق مسکن]]+ج_ح_بهمن24[[#This Row],[حق اولاد]]+ج_ح_بهمن24[[#This Row],[حق و خواروبار]],"")</f>
        <v/>
      </c>
      <c r="P381"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81" s="46" t="str">
        <f>IFERROR(ج_ح_بهمن24[[#This Row],[حقوق پایه]]+ج_ح_بهمن24[[#This Row],[اضافه کاری]]-(2/7)*ج_ح_بهمن24[[#This Row],[بیمه پرداختنی]],"")</f>
        <v/>
      </c>
      <c r="R381" s="45"/>
      <c r="S381" s="45"/>
      <c r="T381" s="46" t="str">
        <f>IFERROR(ج_ح_بهمن24[[#This Row],[جمع ح و م م بیمه ]]*7%,"")</f>
        <v/>
      </c>
      <c r="U381"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81" s="46" t="str">
        <f>IFERROR(ج_ح_بهمن24[[#This Row],[وام]]+ج_ح_بهمن24[[#This Row],[مساعده]]+ج_ح_بهمن24[[#This Row],[بیمه پرداختنی]]+ج_ح_بهمن24[[#This Row],[مالیات پرداختنی]],"")</f>
        <v/>
      </c>
      <c r="W381" s="46" t="str">
        <f>IFERROR(ج_ح_بهمن24[[#This Row],[جمع ح و م]]-ج_ح_بهمن24[[#This Row],[جمع کسورات]],"")</f>
        <v/>
      </c>
    </row>
    <row r="382" spans="1:23" s="41" customFormat="1" ht="32.1" customHeight="1">
      <c r="B382" s="41">
        <f t="shared" si="9"/>
        <v>11</v>
      </c>
      <c r="C382" s="42" t="str">
        <f>IF(ج_ح_بهمن24[[#This Row],[نام]]&lt;&gt;"",ROW()-377+1,"")</f>
        <v/>
      </c>
      <c r="D382" s="43"/>
      <c r="E382" s="43"/>
      <c r="F382" s="44"/>
      <c r="G382" s="45"/>
      <c r="H382" s="46" t="str">
        <f>IF(ج_ح_بهمن24[[#This Row],[کارکرد]]*ج_ح_بهمن24[[#This Row],[دستمزد روزانه ]]=0,"",ج_ح_بهمن24[[#This Row],[کارکرد]]*ج_ح_بهمن24[[#This Row],[دستمزد روزانه ]])</f>
        <v/>
      </c>
      <c r="I382" s="47"/>
      <c r="J382" s="48">
        <f>(ج_ح_بهمن24[[#This Row],[دستمزد روزانه ]]/7.33)*1.4*ج_ح_بهمن24[[#This Row],[مدت اضافه کاری ]]</f>
        <v>0</v>
      </c>
      <c r="K382" s="46" t="str">
        <f>IF(ج_ح_بهمن24[[#This Row],[کارکرد]]="","",ج_ح_بهمن24[[#This Row],[کارکرد]]*حق_مسکن/30)</f>
        <v/>
      </c>
      <c r="L382" s="49"/>
      <c r="M382" s="46" t="str">
        <f>IF(ج_ح_بهمن24[[#This Row],[تعداد فرزندان]]="","",ج_ح_بهمن24[[#This Row],[کارکرد]]/30*3*ج_ح_بهمن24[[#This Row],[تعداد فرزندان]]*حداقل_حقوق_پایه_روزانه)</f>
        <v/>
      </c>
      <c r="N382" s="46" t="str">
        <f>IF(ج_ح_بهمن24[[#This Row],[کارکرد]]="","",ج_ح_بهمن24[[#This Row],[کارکرد]]*حق_خواربار/30)</f>
        <v/>
      </c>
      <c r="O382" s="46" t="str">
        <f>IFERROR(ج_ح_بهمن24[[#This Row],[حقوق پایه]]+ج_ح_بهمن24[[#This Row],[اضافه کاری]]+ج_ح_بهمن24[[#This Row],[حق مسکن]]+ج_ح_بهمن24[[#This Row],[حق اولاد]]+ج_ح_بهمن24[[#This Row],[حق و خواروبار]],"")</f>
        <v/>
      </c>
      <c r="P382"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82" s="46" t="str">
        <f>IFERROR(ج_ح_بهمن24[[#This Row],[حقوق پایه]]+ج_ح_بهمن24[[#This Row],[اضافه کاری]]-(2/7)*ج_ح_بهمن24[[#This Row],[بیمه پرداختنی]],"")</f>
        <v/>
      </c>
      <c r="R382" s="45"/>
      <c r="S382" s="45"/>
      <c r="T382" s="46" t="str">
        <f>IFERROR(ج_ح_بهمن24[[#This Row],[جمع ح و م م بیمه ]]*7%,"")</f>
        <v/>
      </c>
      <c r="U382"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82" s="46" t="str">
        <f>IFERROR(ج_ح_بهمن24[[#This Row],[وام]]+ج_ح_بهمن24[[#This Row],[مساعده]]+ج_ح_بهمن24[[#This Row],[بیمه پرداختنی]]+ج_ح_بهمن24[[#This Row],[مالیات پرداختنی]],"")</f>
        <v/>
      </c>
      <c r="W382" s="46" t="str">
        <f>IFERROR(ج_ح_بهمن24[[#This Row],[جمع ح و م]]-ج_ح_بهمن24[[#This Row],[جمع کسورات]],"")</f>
        <v/>
      </c>
    </row>
    <row r="383" spans="1:23" s="41" customFormat="1" ht="32.1" customHeight="1">
      <c r="B383" s="41">
        <f t="shared" si="9"/>
        <v>11</v>
      </c>
      <c r="C383" s="42" t="str">
        <f>IF(ج_ح_بهمن24[[#This Row],[نام]]&lt;&gt;"",ROW()-377+1,"")</f>
        <v/>
      </c>
      <c r="D383" s="43"/>
      <c r="E383" s="43"/>
      <c r="F383" s="44"/>
      <c r="G383" s="45"/>
      <c r="H383" s="46" t="str">
        <f>IF(ج_ح_بهمن24[[#This Row],[کارکرد]]*ج_ح_بهمن24[[#This Row],[دستمزد روزانه ]]=0,"",ج_ح_بهمن24[[#This Row],[کارکرد]]*ج_ح_بهمن24[[#This Row],[دستمزد روزانه ]])</f>
        <v/>
      </c>
      <c r="I383" s="47"/>
      <c r="J383" s="48">
        <f>(ج_ح_بهمن24[[#This Row],[دستمزد روزانه ]]/7.33)*1.4*ج_ح_بهمن24[[#This Row],[مدت اضافه کاری ]]</f>
        <v>0</v>
      </c>
      <c r="K383" s="46" t="str">
        <f>IF(ج_ح_بهمن24[[#This Row],[کارکرد]]="","",ج_ح_بهمن24[[#This Row],[کارکرد]]*حق_مسکن/30)</f>
        <v/>
      </c>
      <c r="L383" s="49"/>
      <c r="M383" s="46" t="str">
        <f>IF(ج_ح_بهمن24[[#This Row],[تعداد فرزندان]]="","",ج_ح_بهمن24[[#This Row],[کارکرد]]/30*3*ج_ح_بهمن24[[#This Row],[تعداد فرزندان]]*حداقل_حقوق_پایه_روزانه)</f>
        <v/>
      </c>
      <c r="N383" s="46" t="str">
        <f>IF(ج_ح_بهمن24[[#This Row],[کارکرد]]="","",ج_ح_بهمن24[[#This Row],[کارکرد]]*حق_خواربار/30)</f>
        <v/>
      </c>
      <c r="O383" s="46" t="str">
        <f>IFERROR(ج_ح_بهمن24[[#This Row],[حقوق پایه]]+ج_ح_بهمن24[[#This Row],[اضافه کاری]]+ج_ح_بهمن24[[#This Row],[حق مسکن]]+ج_ح_بهمن24[[#This Row],[حق اولاد]]+ج_ح_بهمن24[[#This Row],[حق و خواروبار]],"")</f>
        <v/>
      </c>
      <c r="P383"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83" s="46" t="str">
        <f>IFERROR(ج_ح_بهمن24[[#This Row],[حقوق پایه]]+ج_ح_بهمن24[[#This Row],[اضافه کاری]]-(2/7)*ج_ح_بهمن24[[#This Row],[بیمه پرداختنی]],"")</f>
        <v/>
      </c>
      <c r="R383" s="45"/>
      <c r="S383" s="45"/>
      <c r="T383" s="46" t="str">
        <f>IFERROR(ج_ح_بهمن24[[#This Row],[جمع ح و م م بیمه ]]*7%,"")</f>
        <v/>
      </c>
      <c r="U383"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83" s="46" t="str">
        <f>IFERROR(ج_ح_بهمن24[[#This Row],[وام]]+ج_ح_بهمن24[[#This Row],[مساعده]]+ج_ح_بهمن24[[#This Row],[بیمه پرداختنی]]+ج_ح_بهمن24[[#This Row],[مالیات پرداختنی]],"")</f>
        <v/>
      </c>
      <c r="W383" s="46" t="str">
        <f>IFERROR(ج_ح_بهمن24[[#This Row],[جمع ح و م]]-ج_ح_بهمن24[[#This Row],[جمع کسورات]],"")</f>
        <v/>
      </c>
    </row>
    <row r="384" spans="1:23" s="41" customFormat="1" ht="32.1" customHeight="1">
      <c r="B384" s="41">
        <f t="shared" si="9"/>
        <v>11</v>
      </c>
      <c r="C384" s="42" t="str">
        <f>IF(ج_ح_بهمن24[[#This Row],[نام]]&lt;&gt;"",ROW()-377+1,"")</f>
        <v/>
      </c>
      <c r="D384" s="43"/>
      <c r="E384" s="43"/>
      <c r="F384" s="44"/>
      <c r="G384" s="45"/>
      <c r="H384" s="46" t="str">
        <f>IF(ج_ح_بهمن24[[#This Row],[کارکرد]]*ج_ح_بهمن24[[#This Row],[دستمزد روزانه ]]=0,"",ج_ح_بهمن24[[#This Row],[کارکرد]]*ج_ح_بهمن24[[#This Row],[دستمزد روزانه ]])</f>
        <v/>
      </c>
      <c r="I384" s="47"/>
      <c r="J384" s="48">
        <f>(ج_ح_بهمن24[[#This Row],[دستمزد روزانه ]]/7.33)*1.4*ج_ح_بهمن24[[#This Row],[مدت اضافه کاری ]]</f>
        <v>0</v>
      </c>
      <c r="K384" s="46" t="str">
        <f>IF(ج_ح_بهمن24[[#This Row],[کارکرد]]="","",ج_ح_بهمن24[[#This Row],[کارکرد]]*حق_مسکن/30)</f>
        <v/>
      </c>
      <c r="L384" s="49"/>
      <c r="M384" s="46" t="str">
        <f>IF(ج_ح_بهمن24[[#This Row],[تعداد فرزندان]]="","",ج_ح_بهمن24[[#This Row],[کارکرد]]/30*3*ج_ح_بهمن24[[#This Row],[تعداد فرزندان]]*حداقل_حقوق_پایه_روزانه)</f>
        <v/>
      </c>
      <c r="N384" s="46" t="str">
        <f>IF(ج_ح_بهمن24[[#This Row],[کارکرد]]="","",ج_ح_بهمن24[[#This Row],[کارکرد]]*حق_خواربار/30)</f>
        <v/>
      </c>
      <c r="O384" s="46" t="str">
        <f>IFERROR(ج_ح_بهمن24[[#This Row],[حقوق پایه]]+ج_ح_بهمن24[[#This Row],[اضافه کاری]]+ج_ح_بهمن24[[#This Row],[حق مسکن]]+ج_ح_بهمن24[[#This Row],[حق اولاد]]+ج_ح_بهمن24[[#This Row],[حق و خواروبار]],"")</f>
        <v/>
      </c>
      <c r="P384"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84" s="46" t="str">
        <f>IFERROR(ج_ح_بهمن24[[#This Row],[حقوق پایه]]+ج_ح_بهمن24[[#This Row],[اضافه کاری]]-(2/7)*ج_ح_بهمن24[[#This Row],[بیمه پرداختنی]],"")</f>
        <v/>
      </c>
      <c r="R384" s="45"/>
      <c r="S384" s="45"/>
      <c r="T384" s="46" t="str">
        <f>IFERROR(ج_ح_بهمن24[[#This Row],[جمع ح و م م بیمه ]]*7%,"")</f>
        <v/>
      </c>
      <c r="U384"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84" s="46" t="str">
        <f>IFERROR(ج_ح_بهمن24[[#This Row],[وام]]+ج_ح_بهمن24[[#This Row],[مساعده]]+ج_ح_بهمن24[[#This Row],[بیمه پرداختنی]]+ج_ح_بهمن24[[#This Row],[مالیات پرداختنی]],"")</f>
        <v/>
      </c>
      <c r="W384" s="46" t="str">
        <f>IFERROR(ج_ح_بهمن24[[#This Row],[جمع ح و م]]-ج_ح_بهمن24[[#This Row],[جمع کسورات]],"")</f>
        <v/>
      </c>
    </row>
    <row r="385" spans="2:23" s="41" customFormat="1" ht="32.1" customHeight="1">
      <c r="B385" s="41">
        <f t="shared" si="9"/>
        <v>11</v>
      </c>
      <c r="C385" s="42" t="str">
        <f>IF(ج_ح_بهمن24[[#This Row],[نام]]&lt;&gt;"",ROW()-377+1,"")</f>
        <v/>
      </c>
      <c r="D385" s="43"/>
      <c r="E385" s="43"/>
      <c r="F385" s="44"/>
      <c r="G385" s="45"/>
      <c r="H385" s="46" t="str">
        <f>IF(ج_ح_بهمن24[[#This Row],[کارکرد]]*ج_ح_بهمن24[[#This Row],[دستمزد روزانه ]]=0,"",ج_ح_بهمن24[[#This Row],[کارکرد]]*ج_ح_بهمن24[[#This Row],[دستمزد روزانه ]])</f>
        <v/>
      </c>
      <c r="I385" s="47"/>
      <c r="J385" s="48">
        <f>(ج_ح_بهمن24[[#This Row],[دستمزد روزانه ]]/7.33)*1.4*ج_ح_بهمن24[[#This Row],[مدت اضافه کاری ]]</f>
        <v>0</v>
      </c>
      <c r="K385" s="46" t="str">
        <f>IF(ج_ح_بهمن24[[#This Row],[کارکرد]]="","",ج_ح_بهمن24[[#This Row],[کارکرد]]*حق_مسکن/30)</f>
        <v/>
      </c>
      <c r="L385" s="49"/>
      <c r="M385" s="46" t="str">
        <f>IF(ج_ح_بهمن24[[#This Row],[تعداد فرزندان]]="","",ج_ح_بهمن24[[#This Row],[کارکرد]]/30*3*ج_ح_بهمن24[[#This Row],[تعداد فرزندان]]*حداقل_حقوق_پایه_روزانه)</f>
        <v/>
      </c>
      <c r="N385" s="46" t="str">
        <f>IF(ج_ح_بهمن24[[#This Row],[کارکرد]]="","",ج_ح_بهمن24[[#This Row],[کارکرد]]*حق_خواربار/30)</f>
        <v/>
      </c>
      <c r="O385" s="46" t="str">
        <f>IFERROR(ج_ح_بهمن24[[#This Row],[حقوق پایه]]+ج_ح_بهمن24[[#This Row],[اضافه کاری]]+ج_ح_بهمن24[[#This Row],[حق مسکن]]+ج_ح_بهمن24[[#This Row],[حق اولاد]]+ج_ح_بهمن24[[#This Row],[حق و خواروبار]],"")</f>
        <v/>
      </c>
      <c r="P385"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85" s="46" t="str">
        <f>IFERROR(ج_ح_بهمن24[[#This Row],[حقوق پایه]]+ج_ح_بهمن24[[#This Row],[اضافه کاری]]-(2/7)*ج_ح_بهمن24[[#This Row],[بیمه پرداختنی]],"")</f>
        <v/>
      </c>
      <c r="R385" s="45"/>
      <c r="S385" s="45"/>
      <c r="T385" s="46" t="str">
        <f>IFERROR(ج_ح_بهمن24[[#This Row],[جمع ح و م م بیمه ]]*7%,"")</f>
        <v/>
      </c>
      <c r="U385"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85" s="46" t="str">
        <f>IFERROR(ج_ح_بهمن24[[#This Row],[وام]]+ج_ح_بهمن24[[#This Row],[مساعده]]+ج_ح_بهمن24[[#This Row],[بیمه پرداختنی]]+ج_ح_بهمن24[[#This Row],[مالیات پرداختنی]],"")</f>
        <v/>
      </c>
      <c r="W385" s="46" t="str">
        <f>IFERROR(ج_ح_بهمن24[[#This Row],[جمع ح و م]]-ج_ح_بهمن24[[#This Row],[جمع کسورات]],"")</f>
        <v/>
      </c>
    </row>
    <row r="386" spans="2:23" s="41" customFormat="1" ht="32.1" customHeight="1">
      <c r="B386" s="41">
        <f t="shared" si="9"/>
        <v>11</v>
      </c>
      <c r="C386" s="42" t="str">
        <f>IF(ج_ح_بهمن24[[#This Row],[نام]]&lt;&gt;"",ROW()-377+1,"")</f>
        <v/>
      </c>
      <c r="D386" s="43"/>
      <c r="E386" s="43"/>
      <c r="F386" s="44"/>
      <c r="G386" s="45"/>
      <c r="H386" s="46" t="str">
        <f>IF(ج_ح_بهمن24[[#This Row],[کارکرد]]*ج_ح_بهمن24[[#This Row],[دستمزد روزانه ]]=0,"",ج_ح_بهمن24[[#This Row],[کارکرد]]*ج_ح_بهمن24[[#This Row],[دستمزد روزانه ]])</f>
        <v/>
      </c>
      <c r="I386" s="47"/>
      <c r="J386" s="48">
        <f>(ج_ح_بهمن24[[#This Row],[دستمزد روزانه ]]/7.33)*1.4*ج_ح_بهمن24[[#This Row],[مدت اضافه کاری ]]</f>
        <v>0</v>
      </c>
      <c r="K386" s="46" t="str">
        <f>IF(ج_ح_بهمن24[[#This Row],[کارکرد]]="","",ج_ح_بهمن24[[#This Row],[کارکرد]]*حق_مسکن/30)</f>
        <v/>
      </c>
      <c r="L386" s="49"/>
      <c r="M386" s="46" t="str">
        <f>IF(ج_ح_بهمن24[[#This Row],[تعداد فرزندان]]="","",ج_ح_بهمن24[[#This Row],[کارکرد]]/30*3*ج_ح_بهمن24[[#This Row],[تعداد فرزندان]]*حداقل_حقوق_پایه_روزانه)</f>
        <v/>
      </c>
      <c r="N386" s="46" t="str">
        <f>IF(ج_ح_بهمن24[[#This Row],[کارکرد]]="","",ج_ح_بهمن24[[#This Row],[کارکرد]]*حق_خواربار/30)</f>
        <v/>
      </c>
      <c r="O386" s="46" t="str">
        <f>IFERROR(ج_ح_بهمن24[[#This Row],[حقوق پایه]]+ج_ح_بهمن24[[#This Row],[اضافه کاری]]+ج_ح_بهمن24[[#This Row],[حق مسکن]]+ج_ح_بهمن24[[#This Row],[حق اولاد]]+ج_ح_بهمن24[[#This Row],[حق و خواروبار]],"")</f>
        <v/>
      </c>
      <c r="P386"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86" s="46" t="str">
        <f>IFERROR(ج_ح_بهمن24[[#This Row],[حقوق پایه]]+ج_ح_بهمن24[[#This Row],[اضافه کاری]]-(2/7)*ج_ح_بهمن24[[#This Row],[بیمه پرداختنی]],"")</f>
        <v/>
      </c>
      <c r="R386" s="45"/>
      <c r="S386" s="45"/>
      <c r="T386" s="46" t="str">
        <f>IFERROR(ج_ح_بهمن24[[#This Row],[جمع ح و م م بیمه ]]*7%,"")</f>
        <v/>
      </c>
      <c r="U386"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86" s="46" t="str">
        <f>IFERROR(ج_ح_بهمن24[[#This Row],[وام]]+ج_ح_بهمن24[[#This Row],[مساعده]]+ج_ح_بهمن24[[#This Row],[بیمه پرداختنی]]+ج_ح_بهمن24[[#This Row],[مالیات پرداختنی]],"")</f>
        <v/>
      </c>
      <c r="W386" s="46" t="str">
        <f>IFERROR(ج_ح_بهمن24[[#This Row],[جمع ح و م]]-ج_ح_بهمن24[[#This Row],[جمع کسورات]],"")</f>
        <v/>
      </c>
    </row>
    <row r="387" spans="2:23" s="41" customFormat="1" ht="32.1" customHeight="1">
      <c r="B387" s="41">
        <f t="shared" si="9"/>
        <v>11</v>
      </c>
      <c r="C387" s="42" t="str">
        <f>IF(ج_ح_بهمن24[[#This Row],[نام]]&lt;&gt;"",ROW()-377+1,"")</f>
        <v/>
      </c>
      <c r="D387" s="43"/>
      <c r="E387" s="43"/>
      <c r="F387" s="44"/>
      <c r="G387" s="45"/>
      <c r="H387" s="46" t="str">
        <f>IF(ج_ح_بهمن24[[#This Row],[کارکرد]]*ج_ح_بهمن24[[#This Row],[دستمزد روزانه ]]=0,"",ج_ح_بهمن24[[#This Row],[کارکرد]]*ج_ح_بهمن24[[#This Row],[دستمزد روزانه ]])</f>
        <v/>
      </c>
      <c r="I387" s="47"/>
      <c r="J387" s="48">
        <f>(ج_ح_بهمن24[[#This Row],[دستمزد روزانه ]]/7.33)*1.4*ج_ح_بهمن24[[#This Row],[مدت اضافه کاری ]]</f>
        <v>0</v>
      </c>
      <c r="K387" s="46" t="str">
        <f>IF(ج_ح_بهمن24[[#This Row],[کارکرد]]="","",ج_ح_بهمن24[[#This Row],[کارکرد]]*حق_مسکن/30)</f>
        <v/>
      </c>
      <c r="L387" s="49"/>
      <c r="M387" s="46" t="str">
        <f>IF(ج_ح_بهمن24[[#This Row],[تعداد فرزندان]]="","",ج_ح_بهمن24[[#This Row],[کارکرد]]/30*3*ج_ح_بهمن24[[#This Row],[تعداد فرزندان]]*حداقل_حقوق_پایه_روزانه)</f>
        <v/>
      </c>
      <c r="N387" s="46" t="str">
        <f>IF(ج_ح_بهمن24[[#This Row],[کارکرد]]="","",ج_ح_بهمن24[[#This Row],[کارکرد]]*حق_خواربار/30)</f>
        <v/>
      </c>
      <c r="O387" s="46" t="str">
        <f>IFERROR(ج_ح_بهمن24[[#This Row],[حقوق پایه]]+ج_ح_بهمن24[[#This Row],[اضافه کاری]]+ج_ح_بهمن24[[#This Row],[حق مسکن]]+ج_ح_بهمن24[[#This Row],[حق اولاد]]+ج_ح_بهمن24[[#This Row],[حق و خواروبار]],"")</f>
        <v/>
      </c>
      <c r="P387"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87" s="46" t="str">
        <f>IFERROR(ج_ح_بهمن24[[#This Row],[حقوق پایه]]+ج_ح_بهمن24[[#This Row],[اضافه کاری]]-(2/7)*ج_ح_بهمن24[[#This Row],[بیمه پرداختنی]],"")</f>
        <v/>
      </c>
      <c r="R387" s="45"/>
      <c r="S387" s="45"/>
      <c r="T387" s="46" t="str">
        <f>IFERROR(ج_ح_بهمن24[[#This Row],[جمع ح و م م بیمه ]]*7%,"")</f>
        <v/>
      </c>
      <c r="U387"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87" s="46" t="str">
        <f>IFERROR(ج_ح_بهمن24[[#This Row],[وام]]+ج_ح_بهمن24[[#This Row],[مساعده]]+ج_ح_بهمن24[[#This Row],[بیمه پرداختنی]]+ج_ح_بهمن24[[#This Row],[مالیات پرداختنی]],"")</f>
        <v/>
      </c>
      <c r="W387" s="46" t="str">
        <f>IFERROR(ج_ح_بهمن24[[#This Row],[جمع ح و م]]-ج_ح_بهمن24[[#This Row],[جمع کسورات]],"")</f>
        <v/>
      </c>
    </row>
    <row r="388" spans="2:23" s="41" customFormat="1" ht="32.1" customHeight="1">
      <c r="B388" s="41">
        <f t="shared" si="9"/>
        <v>11</v>
      </c>
      <c r="C388" s="42" t="str">
        <f>IF(ج_ح_بهمن24[[#This Row],[نام]]&lt;&gt;"",ROW()-377+1,"")</f>
        <v/>
      </c>
      <c r="D388" s="43"/>
      <c r="E388" s="43"/>
      <c r="F388" s="44"/>
      <c r="G388" s="45"/>
      <c r="H388" s="46" t="str">
        <f>IF(ج_ح_بهمن24[[#This Row],[کارکرد]]*ج_ح_بهمن24[[#This Row],[دستمزد روزانه ]]=0,"",ج_ح_بهمن24[[#This Row],[کارکرد]]*ج_ح_بهمن24[[#This Row],[دستمزد روزانه ]])</f>
        <v/>
      </c>
      <c r="I388" s="47"/>
      <c r="J388" s="48">
        <f>(ج_ح_بهمن24[[#This Row],[دستمزد روزانه ]]/7.33)*1.4*ج_ح_بهمن24[[#This Row],[مدت اضافه کاری ]]</f>
        <v>0</v>
      </c>
      <c r="K388" s="46" t="str">
        <f>IF(ج_ح_بهمن24[[#This Row],[کارکرد]]="","",ج_ح_بهمن24[[#This Row],[کارکرد]]*حق_مسکن/30)</f>
        <v/>
      </c>
      <c r="L388" s="49"/>
      <c r="M388" s="46" t="str">
        <f>IF(ج_ح_بهمن24[[#This Row],[تعداد فرزندان]]="","",ج_ح_بهمن24[[#This Row],[کارکرد]]/30*3*ج_ح_بهمن24[[#This Row],[تعداد فرزندان]]*حداقل_حقوق_پایه_روزانه)</f>
        <v/>
      </c>
      <c r="N388" s="46" t="str">
        <f>IF(ج_ح_بهمن24[[#This Row],[کارکرد]]="","",ج_ح_بهمن24[[#This Row],[کارکرد]]*حق_خواربار/30)</f>
        <v/>
      </c>
      <c r="O388" s="46" t="str">
        <f>IFERROR(ج_ح_بهمن24[[#This Row],[حقوق پایه]]+ج_ح_بهمن24[[#This Row],[اضافه کاری]]+ج_ح_بهمن24[[#This Row],[حق مسکن]]+ج_ح_بهمن24[[#This Row],[حق اولاد]]+ج_ح_بهمن24[[#This Row],[حق و خواروبار]],"")</f>
        <v/>
      </c>
      <c r="P388"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88" s="46" t="str">
        <f>IFERROR(ج_ح_بهمن24[[#This Row],[حقوق پایه]]+ج_ح_بهمن24[[#This Row],[اضافه کاری]]-(2/7)*ج_ح_بهمن24[[#This Row],[بیمه پرداختنی]],"")</f>
        <v/>
      </c>
      <c r="R388" s="45"/>
      <c r="S388" s="45"/>
      <c r="T388" s="46" t="str">
        <f>IFERROR(ج_ح_بهمن24[[#This Row],[جمع ح و م م بیمه ]]*7%,"")</f>
        <v/>
      </c>
      <c r="U388"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88" s="46" t="str">
        <f>IFERROR(ج_ح_بهمن24[[#This Row],[وام]]+ج_ح_بهمن24[[#This Row],[مساعده]]+ج_ح_بهمن24[[#This Row],[بیمه پرداختنی]]+ج_ح_بهمن24[[#This Row],[مالیات پرداختنی]],"")</f>
        <v/>
      </c>
      <c r="W388" s="46" t="str">
        <f>IFERROR(ج_ح_بهمن24[[#This Row],[جمع ح و م]]-ج_ح_بهمن24[[#This Row],[جمع کسورات]],"")</f>
        <v/>
      </c>
    </row>
    <row r="389" spans="2:23" s="41" customFormat="1" ht="32.1" customHeight="1">
      <c r="B389" s="41">
        <f t="shared" si="9"/>
        <v>11</v>
      </c>
      <c r="C389" s="42" t="str">
        <f>IF(ج_ح_بهمن24[[#This Row],[نام]]&lt;&gt;"",ROW()-377+1,"")</f>
        <v/>
      </c>
      <c r="D389" s="43"/>
      <c r="E389" s="43"/>
      <c r="F389" s="44"/>
      <c r="G389" s="45"/>
      <c r="H389" s="46" t="str">
        <f>IF(ج_ح_بهمن24[[#This Row],[کارکرد]]*ج_ح_بهمن24[[#This Row],[دستمزد روزانه ]]=0,"",ج_ح_بهمن24[[#This Row],[کارکرد]]*ج_ح_بهمن24[[#This Row],[دستمزد روزانه ]])</f>
        <v/>
      </c>
      <c r="I389" s="47"/>
      <c r="J389" s="48">
        <f>(ج_ح_بهمن24[[#This Row],[دستمزد روزانه ]]/7.33)*1.4*ج_ح_بهمن24[[#This Row],[مدت اضافه کاری ]]</f>
        <v>0</v>
      </c>
      <c r="K389" s="46" t="str">
        <f>IF(ج_ح_بهمن24[[#This Row],[کارکرد]]="","",ج_ح_بهمن24[[#This Row],[کارکرد]]*حق_مسکن/30)</f>
        <v/>
      </c>
      <c r="L389" s="49"/>
      <c r="M389" s="46" t="str">
        <f>IF(ج_ح_بهمن24[[#This Row],[تعداد فرزندان]]="","",ج_ح_بهمن24[[#This Row],[کارکرد]]/30*3*ج_ح_بهمن24[[#This Row],[تعداد فرزندان]]*حداقل_حقوق_پایه_روزانه)</f>
        <v/>
      </c>
      <c r="N389" s="46" t="str">
        <f>IF(ج_ح_بهمن24[[#This Row],[کارکرد]]="","",ج_ح_بهمن24[[#This Row],[کارکرد]]*حق_خواربار/30)</f>
        <v/>
      </c>
      <c r="O389" s="46" t="str">
        <f>IFERROR(ج_ح_بهمن24[[#This Row],[حقوق پایه]]+ج_ح_بهمن24[[#This Row],[اضافه کاری]]+ج_ح_بهمن24[[#This Row],[حق مسکن]]+ج_ح_بهمن24[[#This Row],[حق اولاد]]+ج_ح_بهمن24[[#This Row],[حق و خواروبار]],"")</f>
        <v/>
      </c>
      <c r="P389"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89" s="46" t="str">
        <f>IFERROR(ج_ح_بهمن24[[#This Row],[حقوق پایه]]+ج_ح_بهمن24[[#This Row],[اضافه کاری]]-(2/7)*ج_ح_بهمن24[[#This Row],[بیمه پرداختنی]],"")</f>
        <v/>
      </c>
      <c r="R389" s="45"/>
      <c r="S389" s="45"/>
      <c r="T389" s="46" t="str">
        <f>IFERROR(ج_ح_بهمن24[[#This Row],[جمع ح و م م بیمه ]]*7%,"")</f>
        <v/>
      </c>
      <c r="U389"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89" s="46" t="str">
        <f>IFERROR(ج_ح_بهمن24[[#This Row],[وام]]+ج_ح_بهمن24[[#This Row],[مساعده]]+ج_ح_بهمن24[[#This Row],[بیمه پرداختنی]]+ج_ح_بهمن24[[#This Row],[مالیات پرداختنی]],"")</f>
        <v/>
      </c>
      <c r="W389" s="46" t="str">
        <f>IFERROR(ج_ح_بهمن24[[#This Row],[جمع ح و م]]-ج_ح_بهمن24[[#This Row],[جمع کسورات]],"")</f>
        <v/>
      </c>
    </row>
    <row r="390" spans="2:23" s="41" customFormat="1" ht="32.1" customHeight="1">
      <c r="B390" s="41">
        <f t="shared" si="9"/>
        <v>11</v>
      </c>
      <c r="C390" s="42" t="str">
        <f>IF(ج_ح_بهمن24[[#This Row],[نام]]&lt;&gt;"",ROW()-377+1,"")</f>
        <v/>
      </c>
      <c r="D390" s="43"/>
      <c r="E390" s="43"/>
      <c r="F390" s="44"/>
      <c r="G390" s="45"/>
      <c r="H390" s="46" t="str">
        <f>IF(ج_ح_بهمن24[[#This Row],[کارکرد]]*ج_ح_بهمن24[[#This Row],[دستمزد روزانه ]]=0,"",ج_ح_بهمن24[[#This Row],[کارکرد]]*ج_ح_بهمن24[[#This Row],[دستمزد روزانه ]])</f>
        <v/>
      </c>
      <c r="I390" s="47"/>
      <c r="J390" s="48">
        <f>(ج_ح_بهمن24[[#This Row],[دستمزد روزانه ]]/7.33)*1.4*ج_ح_بهمن24[[#This Row],[مدت اضافه کاری ]]</f>
        <v>0</v>
      </c>
      <c r="K390" s="46" t="str">
        <f>IF(ج_ح_بهمن24[[#This Row],[کارکرد]]="","",ج_ح_بهمن24[[#This Row],[کارکرد]]*حق_مسکن/30)</f>
        <v/>
      </c>
      <c r="L390" s="49"/>
      <c r="M390" s="46" t="str">
        <f>IF(ج_ح_بهمن24[[#This Row],[تعداد فرزندان]]="","",ج_ح_بهمن24[[#This Row],[کارکرد]]/30*3*ج_ح_بهمن24[[#This Row],[تعداد فرزندان]]*حداقل_حقوق_پایه_روزانه)</f>
        <v/>
      </c>
      <c r="N390" s="46" t="str">
        <f>IF(ج_ح_بهمن24[[#This Row],[کارکرد]]="","",ج_ح_بهمن24[[#This Row],[کارکرد]]*حق_خواربار/30)</f>
        <v/>
      </c>
      <c r="O390" s="46" t="str">
        <f>IFERROR(ج_ح_بهمن24[[#This Row],[حقوق پایه]]+ج_ح_بهمن24[[#This Row],[اضافه کاری]]+ج_ح_بهمن24[[#This Row],[حق مسکن]]+ج_ح_بهمن24[[#This Row],[حق اولاد]]+ج_ح_بهمن24[[#This Row],[حق و خواروبار]],"")</f>
        <v/>
      </c>
      <c r="P390"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90" s="46" t="str">
        <f>IFERROR(ج_ح_بهمن24[[#This Row],[حقوق پایه]]+ج_ح_بهمن24[[#This Row],[اضافه کاری]]-(2/7)*ج_ح_بهمن24[[#This Row],[بیمه پرداختنی]],"")</f>
        <v/>
      </c>
      <c r="R390" s="45"/>
      <c r="S390" s="45"/>
      <c r="T390" s="46" t="str">
        <f>IFERROR(ج_ح_بهمن24[[#This Row],[جمع ح و م م بیمه ]]*7%,"")</f>
        <v/>
      </c>
      <c r="U390"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90" s="46" t="str">
        <f>IFERROR(ج_ح_بهمن24[[#This Row],[وام]]+ج_ح_بهمن24[[#This Row],[مساعده]]+ج_ح_بهمن24[[#This Row],[بیمه پرداختنی]]+ج_ح_بهمن24[[#This Row],[مالیات پرداختنی]],"")</f>
        <v/>
      </c>
      <c r="W390" s="46" t="str">
        <f>IFERROR(ج_ح_بهمن24[[#This Row],[جمع ح و م]]-ج_ح_بهمن24[[#This Row],[جمع کسورات]],"")</f>
        <v/>
      </c>
    </row>
    <row r="391" spans="2:23" s="41" customFormat="1" ht="32.1" customHeight="1">
      <c r="B391" s="41">
        <f t="shared" si="9"/>
        <v>11</v>
      </c>
      <c r="C391" s="42" t="str">
        <f>IF(ج_ح_بهمن24[[#This Row],[نام]]&lt;&gt;"",ROW()-377+1,"")</f>
        <v/>
      </c>
      <c r="D391" s="43"/>
      <c r="E391" s="43"/>
      <c r="F391" s="44"/>
      <c r="G391" s="45"/>
      <c r="H391" s="46" t="str">
        <f>IF(ج_ح_بهمن24[[#This Row],[کارکرد]]*ج_ح_بهمن24[[#This Row],[دستمزد روزانه ]]=0,"",ج_ح_بهمن24[[#This Row],[کارکرد]]*ج_ح_بهمن24[[#This Row],[دستمزد روزانه ]])</f>
        <v/>
      </c>
      <c r="I391" s="47"/>
      <c r="J391" s="48">
        <f>(ج_ح_بهمن24[[#This Row],[دستمزد روزانه ]]/7.33)*1.4*ج_ح_بهمن24[[#This Row],[مدت اضافه کاری ]]</f>
        <v>0</v>
      </c>
      <c r="K391" s="46" t="str">
        <f>IF(ج_ح_بهمن24[[#This Row],[کارکرد]]="","",ج_ح_بهمن24[[#This Row],[کارکرد]]*حق_مسکن/30)</f>
        <v/>
      </c>
      <c r="L391" s="49"/>
      <c r="M391" s="46" t="str">
        <f>IF(ج_ح_بهمن24[[#This Row],[تعداد فرزندان]]="","",ج_ح_بهمن24[[#This Row],[کارکرد]]/30*3*ج_ح_بهمن24[[#This Row],[تعداد فرزندان]]*حداقل_حقوق_پایه_روزانه)</f>
        <v/>
      </c>
      <c r="N391" s="46" t="str">
        <f>IF(ج_ح_بهمن24[[#This Row],[کارکرد]]="","",ج_ح_بهمن24[[#This Row],[کارکرد]]*حق_خواربار/30)</f>
        <v/>
      </c>
      <c r="O391" s="46" t="str">
        <f>IFERROR(ج_ح_بهمن24[[#This Row],[حقوق پایه]]+ج_ح_بهمن24[[#This Row],[اضافه کاری]]+ج_ح_بهمن24[[#This Row],[حق مسکن]]+ج_ح_بهمن24[[#This Row],[حق اولاد]]+ج_ح_بهمن24[[#This Row],[حق و خواروبار]],"")</f>
        <v/>
      </c>
      <c r="P391"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91" s="46" t="str">
        <f>IFERROR(ج_ح_بهمن24[[#This Row],[حقوق پایه]]+ج_ح_بهمن24[[#This Row],[اضافه کاری]]-(2/7)*ج_ح_بهمن24[[#This Row],[بیمه پرداختنی]],"")</f>
        <v/>
      </c>
      <c r="R391" s="45"/>
      <c r="S391" s="45"/>
      <c r="T391" s="46" t="str">
        <f>IFERROR(ج_ح_بهمن24[[#This Row],[جمع ح و م م بیمه ]]*7%,"")</f>
        <v/>
      </c>
      <c r="U391"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91" s="46" t="str">
        <f>IFERROR(ج_ح_بهمن24[[#This Row],[وام]]+ج_ح_بهمن24[[#This Row],[مساعده]]+ج_ح_بهمن24[[#This Row],[بیمه پرداختنی]]+ج_ح_بهمن24[[#This Row],[مالیات پرداختنی]],"")</f>
        <v/>
      </c>
      <c r="W391" s="46" t="str">
        <f>IFERROR(ج_ح_بهمن24[[#This Row],[جمع ح و م]]-ج_ح_بهمن24[[#This Row],[جمع کسورات]],"")</f>
        <v/>
      </c>
    </row>
    <row r="392" spans="2:23" s="41" customFormat="1" ht="32.1" customHeight="1">
      <c r="B392" s="41">
        <f t="shared" si="9"/>
        <v>11</v>
      </c>
      <c r="C392" s="42" t="str">
        <f>IF(ج_ح_بهمن24[[#This Row],[نام]]&lt;&gt;"",ROW()-377+1,"")</f>
        <v/>
      </c>
      <c r="D392" s="43"/>
      <c r="E392" s="43"/>
      <c r="F392" s="44"/>
      <c r="G392" s="45"/>
      <c r="H392" s="46" t="str">
        <f>IF(ج_ح_بهمن24[[#This Row],[کارکرد]]*ج_ح_بهمن24[[#This Row],[دستمزد روزانه ]]=0,"",ج_ح_بهمن24[[#This Row],[کارکرد]]*ج_ح_بهمن24[[#This Row],[دستمزد روزانه ]])</f>
        <v/>
      </c>
      <c r="I392" s="47"/>
      <c r="J392" s="48">
        <f>(ج_ح_بهمن24[[#This Row],[دستمزد روزانه ]]/7.33)*1.4*ج_ح_بهمن24[[#This Row],[مدت اضافه کاری ]]</f>
        <v>0</v>
      </c>
      <c r="K392" s="46" t="str">
        <f>IF(ج_ح_بهمن24[[#This Row],[کارکرد]]="","",ج_ح_بهمن24[[#This Row],[کارکرد]]*حق_مسکن/30)</f>
        <v/>
      </c>
      <c r="L392" s="49"/>
      <c r="M392" s="46" t="str">
        <f>IF(ج_ح_بهمن24[[#This Row],[تعداد فرزندان]]="","",ج_ح_بهمن24[[#This Row],[کارکرد]]/30*3*ج_ح_بهمن24[[#This Row],[تعداد فرزندان]]*حداقل_حقوق_پایه_روزانه)</f>
        <v/>
      </c>
      <c r="N392" s="46" t="str">
        <f>IF(ج_ح_بهمن24[[#This Row],[کارکرد]]="","",ج_ح_بهمن24[[#This Row],[کارکرد]]*حق_خواربار/30)</f>
        <v/>
      </c>
      <c r="O392" s="46" t="str">
        <f>IFERROR(ج_ح_بهمن24[[#This Row],[حقوق پایه]]+ج_ح_بهمن24[[#This Row],[اضافه کاری]]+ج_ح_بهمن24[[#This Row],[حق مسکن]]+ج_ح_بهمن24[[#This Row],[حق اولاد]]+ج_ح_بهمن24[[#This Row],[حق و خواروبار]],"")</f>
        <v/>
      </c>
      <c r="P392"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92" s="46" t="str">
        <f>IFERROR(ج_ح_بهمن24[[#This Row],[حقوق پایه]]+ج_ح_بهمن24[[#This Row],[اضافه کاری]]-(2/7)*ج_ح_بهمن24[[#This Row],[بیمه پرداختنی]],"")</f>
        <v/>
      </c>
      <c r="R392" s="45"/>
      <c r="S392" s="45"/>
      <c r="T392" s="46" t="str">
        <f>IFERROR(ج_ح_بهمن24[[#This Row],[جمع ح و م م بیمه ]]*7%,"")</f>
        <v/>
      </c>
      <c r="U392"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92" s="46" t="str">
        <f>IFERROR(ج_ح_بهمن24[[#This Row],[وام]]+ج_ح_بهمن24[[#This Row],[مساعده]]+ج_ح_بهمن24[[#This Row],[بیمه پرداختنی]]+ج_ح_بهمن24[[#This Row],[مالیات پرداختنی]],"")</f>
        <v/>
      </c>
      <c r="W392" s="46" t="str">
        <f>IFERROR(ج_ح_بهمن24[[#This Row],[جمع ح و م]]-ج_ح_بهمن24[[#This Row],[جمع کسورات]],"")</f>
        <v/>
      </c>
    </row>
    <row r="393" spans="2:23" s="41" customFormat="1" ht="32.1" customHeight="1">
      <c r="B393" s="41">
        <f t="shared" si="9"/>
        <v>11</v>
      </c>
      <c r="C393" s="42" t="str">
        <f>IF(ج_ح_بهمن24[[#This Row],[نام]]&lt;&gt;"",ROW()-377+1,"")</f>
        <v/>
      </c>
      <c r="D393" s="43"/>
      <c r="E393" s="43"/>
      <c r="F393" s="44"/>
      <c r="G393" s="45"/>
      <c r="H393" s="46" t="str">
        <f>IF(ج_ح_بهمن24[[#This Row],[کارکرد]]*ج_ح_بهمن24[[#This Row],[دستمزد روزانه ]]=0,"",ج_ح_بهمن24[[#This Row],[کارکرد]]*ج_ح_بهمن24[[#This Row],[دستمزد روزانه ]])</f>
        <v/>
      </c>
      <c r="I393" s="47"/>
      <c r="J393" s="48">
        <f>(ج_ح_بهمن24[[#This Row],[دستمزد روزانه ]]/7.33)*1.4*ج_ح_بهمن24[[#This Row],[مدت اضافه کاری ]]</f>
        <v>0</v>
      </c>
      <c r="K393" s="46" t="str">
        <f>IF(ج_ح_بهمن24[[#This Row],[کارکرد]]="","",ج_ح_بهمن24[[#This Row],[کارکرد]]*حق_مسکن/30)</f>
        <v/>
      </c>
      <c r="L393" s="49"/>
      <c r="M393" s="46" t="str">
        <f>IF(ج_ح_بهمن24[[#This Row],[تعداد فرزندان]]="","",ج_ح_بهمن24[[#This Row],[کارکرد]]/30*3*ج_ح_بهمن24[[#This Row],[تعداد فرزندان]]*حداقل_حقوق_پایه_روزانه)</f>
        <v/>
      </c>
      <c r="N393" s="46" t="str">
        <f>IF(ج_ح_بهمن24[[#This Row],[کارکرد]]="","",ج_ح_بهمن24[[#This Row],[کارکرد]]*حق_خواربار/30)</f>
        <v/>
      </c>
      <c r="O393" s="46" t="str">
        <f>IFERROR(ج_ح_بهمن24[[#This Row],[حقوق پایه]]+ج_ح_بهمن24[[#This Row],[اضافه کاری]]+ج_ح_بهمن24[[#This Row],[حق مسکن]]+ج_ح_بهمن24[[#This Row],[حق اولاد]]+ج_ح_بهمن24[[#This Row],[حق و خواروبار]],"")</f>
        <v/>
      </c>
      <c r="P393"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93" s="46" t="str">
        <f>IFERROR(ج_ح_بهمن24[[#This Row],[حقوق پایه]]+ج_ح_بهمن24[[#This Row],[اضافه کاری]]-(2/7)*ج_ح_بهمن24[[#This Row],[بیمه پرداختنی]],"")</f>
        <v/>
      </c>
      <c r="R393" s="45"/>
      <c r="S393" s="45"/>
      <c r="T393" s="46" t="str">
        <f>IFERROR(ج_ح_بهمن24[[#This Row],[جمع ح و م م بیمه ]]*7%,"")</f>
        <v/>
      </c>
      <c r="U393"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93" s="46" t="str">
        <f>IFERROR(ج_ح_بهمن24[[#This Row],[وام]]+ج_ح_بهمن24[[#This Row],[مساعده]]+ج_ح_بهمن24[[#This Row],[بیمه پرداختنی]]+ج_ح_بهمن24[[#This Row],[مالیات پرداختنی]],"")</f>
        <v/>
      </c>
      <c r="W393" s="46" t="str">
        <f>IFERROR(ج_ح_بهمن24[[#This Row],[جمع ح و م]]-ج_ح_بهمن24[[#This Row],[جمع کسورات]],"")</f>
        <v/>
      </c>
    </row>
    <row r="394" spans="2:23" s="41" customFormat="1" ht="32.1" customHeight="1">
      <c r="B394" s="41">
        <f t="shared" si="9"/>
        <v>11</v>
      </c>
      <c r="C394" s="42" t="str">
        <f>IF(ج_ح_بهمن24[[#This Row],[نام]]&lt;&gt;"",ROW()-377+1,"")</f>
        <v/>
      </c>
      <c r="D394" s="43"/>
      <c r="E394" s="43"/>
      <c r="F394" s="44"/>
      <c r="G394" s="45"/>
      <c r="H394" s="46" t="str">
        <f>IF(ج_ح_بهمن24[[#This Row],[کارکرد]]*ج_ح_بهمن24[[#This Row],[دستمزد روزانه ]]=0,"",ج_ح_بهمن24[[#This Row],[کارکرد]]*ج_ح_بهمن24[[#This Row],[دستمزد روزانه ]])</f>
        <v/>
      </c>
      <c r="I394" s="47"/>
      <c r="J394" s="48">
        <f>(ج_ح_بهمن24[[#This Row],[دستمزد روزانه ]]/7.33)*1.4*ج_ح_بهمن24[[#This Row],[مدت اضافه کاری ]]</f>
        <v>0</v>
      </c>
      <c r="K394" s="46" t="str">
        <f>IF(ج_ح_بهمن24[[#This Row],[کارکرد]]="","",ج_ح_بهمن24[[#This Row],[کارکرد]]*حق_مسکن/30)</f>
        <v/>
      </c>
      <c r="L394" s="49"/>
      <c r="M394" s="46" t="str">
        <f>IF(ج_ح_بهمن24[[#This Row],[تعداد فرزندان]]="","",ج_ح_بهمن24[[#This Row],[کارکرد]]/30*3*ج_ح_بهمن24[[#This Row],[تعداد فرزندان]]*حداقل_حقوق_پایه_روزانه)</f>
        <v/>
      </c>
      <c r="N394" s="46" t="str">
        <f>IF(ج_ح_بهمن24[[#This Row],[کارکرد]]="","",ج_ح_بهمن24[[#This Row],[کارکرد]]*حق_خواربار/30)</f>
        <v/>
      </c>
      <c r="O394" s="46" t="str">
        <f>IFERROR(ج_ح_بهمن24[[#This Row],[حقوق پایه]]+ج_ح_بهمن24[[#This Row],[اضافه کاری]]+ج_ح_بهمن24[[#This Row],[حق مسکن]]+ج_ح_بهمن24[[#This Row],[حق اولاد]]+ج_ح_بهمن24[[#This Row],[حق و خواروبار]],"")</f>
        <v/>
      </c>
      <c r="P394"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94" s="46" t="str">
        <f>IFERROR(ج_ح_بهمن24[[#This Row],[حقوق پایه]]+ج_ح_بهمن24[[#This Row],[اضافه کاری]]-(2/7)*ج_ح_بهمن24[[#This Row],[بیمه پرداختنی]],"")</f>
        <v/>
      </c>
      <c r="R394" s="45"/>
      <c r="S394" s="45"/>
      <c r="T394" s="46" t="str">
        <f>IFERROR(ج_ح_بهمن24[[#This Row],[جمع ح و م م بیمه ]]*7%,"")</f>
        <v/>
      </c>
      <c r="U394"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94" s="46" t="str">
        <f>IFERROR(ج_ح_بهمن24[[#This Row],[وام]]+ج_ح_بهمن24[[#This Row],[مساعده]]+ج_ح_بهمن24[[#This Row],[بیمه پرداختنی]]+ج_ح_بهمن24[[#This Row],[مالیات پرداختنی]],"")</f>
        <v/>
      </c>
      <c r="W394" s="46" t="str">
        <f>IFERROR(ج_ح_بهمن24[[#This Row],[جمع ح و م]]-ج_ح_بهمن24[[#This Row],[جمع کسورات]],"")</f>
        <v/>
      </c>
    </row>
    <row r="395" spans="2:23" s="41" customFormat="1" ht="32.1" customHeight="1">
      <c r="B395" s="41">
        <f t="shared" si="9"/>
        <v>11</v>
      </c>
      <c r="C395" s="42" t="str">
        <f>IF(ج_ح_بهمن24[[#This Row],[نام]]&lt;&gt;"",ROW()-377+1,"")</f>
        <v/>
      </c>
      <c r="D395" s="43"/>
      <c r="E395" s="43"/>
      <c r="F395" s="44"/>
      <c r="G395" s="45"/>
      <c r="H395" s="46" t="str">
        <f>IF(ج_ح_بهمن24[[#This Row],[کارکرد]]*ج_ح_بهمن24[[#This Row],[دستمزد روزانه ]]=0,"",ج_ح_بهمن24[[#This Row],[کارکرد]]*ج_ح_بهمن24[[#This Row],[دستمزد روزانه ]])</f>
        <v/>
      </c>
      <c r="I395" s="47"/>
      <c r="J395" s="48">
        <f>(ج_ح_بهمن24[[#This Row],[دستمزد روزانه ]]/7.33)*1.4*ج_ح_بهمن24[[#This Row],[مدت اضافه کاری ]]</f>
        <v>0</v>
      </c>
      <c r="K395" s="46" t="str">
        <f>IF(ج_ح_بهمن24[[#This Row],[کارکرد]]="","",ج_ح_بهمن24[[#This Row],[کارکرد]]*حق_مسکن/30)</f>
        <v/>
      </c>
      <c r="L395" s="49"/>
      <c r="M395" s="46" t="str">
        <f>IF(ج_ح_بهمن24[[#This Row],[تعداد فرزندان]]="","",ج_ح_بهمن24[[#This Row],[کارکرد]]/30*3*ج_ح_بهمن24[[#This Row],[تعداد فرزندان]]*حداقل_حقوق_پایه_روزانه)</f>
        <v/>
      </c>
      <c r="N395" s="46" t="str">
        <f>IF(ج_ح_بهمن24[[#This Row],[کارکرد]]="","",ج_ح_بهمن24[[#This Row],[کارکرد]]*حق_خواربار/30)</f>
        <v/>
      </c>
      <c r="O395" s="46" t="str">
        <f>IFERROR(ج_ح_بهمن24[[#This Row],[حقوق پایه]]+ج_ح_بهمن24[[#This Row],[اضافه کاری]]+ج_ح_بهمن24[[#This Row],[حق مسکن]]+ج_ح_بهمن24[[#This Row],[حق اولاد]]+ج_ح_بهمن24[[#This Row],[حق و خواروبار]],"")</f>
        <v/>
      </c>
      <c r="P395"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95" s="46" t="str">
        <f>IFERROR(ج_ح_بهمن24[[#This Row],[حقوق پایه]]+ج_ح_بهمن24[[#This Row],[اضافه کاری]]-(2/7)*ج_ح_بهمن24[[#This Row],[بیمه پرداختنی]],"")</f>
        <v/>
      </c>
      <c r="R395" s="45"/>
      <c r="S395" s="45"/>
      <c r="T395" s="46" t="str">
        <f>IFERROR(ج_ح_بهمن24[[#This Row],[جمع ح و م م بیمه ]]*7%,"")</f>
        <v/>
      </c>
      <c r="U395"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95" s="46" t="str">
        <f>IFERROR(ج_ح_بهمن24[[#This Row],[وام]]+ج_ح_بهمن24[[#This Row],[مساعده]]+ج_ح_بهمن24[[#This Row],[بیمه پرداختنی]]+ج_ح_بهمن24[[#This Row],[مالیات پرداختنی]],"")</f>
        <v/>
      </c>
      <c r="W395" s="46" t="str">
        <f>IFERROR(ج_ح_بهمن24[[#This Row],[جمع ح و م]]-ج_ح_بهمن24[[#This Row],[جمع کسورات]],"")</f>
        <v/>
      </c>
    </row>
    <row r="396" spans="2:23" s="41" customFormat="1" ht="32.1" customHeight="1">
      <c r="B396" s="41">
        <f t="shared" si="9"/>
        <v>11</v>
      </c>
      <c r="C396" s="42" t="str">
        <f>IF(ج_ح_بهمن24[[#This Row],[نام]]&lt;&gt;"",ROW()-377+1,"")</f>
        <v/>
      </c>
      <c r="D396" s="43"/>
      <c r="E396" s="43"/>
      <c r="F396" s="44"/>
      <c r="G396" s="45"/>
      <c r="H396" s="46" t="str">
        <f>IF(ج_ح_بهمن24[[#This Row],[کارکرد]]*ج_ح_بهمن24[[#This Row],[دستمزد روزانه ]]=0,"",ج_ح_بهمن24[[#This Row],[کارکرد]]*ج_ح_بهمن24[[#This Row],[دستمزد روزانه ]])</f>
        <v/>
      </c>
      <c r="I396" s="47"/>
      <c r="J396" s="48">
        <f>(ج_ح_بهمن24[[#This Row],[دستمزد روزانه ]]/7.33)*1.4*ج_ح_بهمن24[[#This Row],[مدت اضافه کاری ]]</f>
        <v>0</v>
      </c>
      <c r="K396" s="46" t="str">
        <f>IF(ج_ح_بهمن24[[#This Row],[کارکرد]]="","",ج_ح_بهمن24[[#This Row],[کارکرد]]*حق_مسکن/30)</f>
        <v/>
      </c>
      <c r="L396" s="49"/>
      <c r="M396" s="46" t="str">
        <f>IF(ج_ح_بهمن24[[#This Row],[تعداد فرزندان]]="","",ج_ح_بهمن24[[#This Row],[کارکرد]]/30*3*ج_ح_بهمن24[[#This Row],[تعداد فرزندان]]*حداقل_حقوق_پایه_روزانه)</f>
        <v/>
      </c>
      <c r="N396" s="46" t="str">
        <f>IF(ج_ح_بهمن24[[#This Row],[کارکرد]]="","",ج_ح_بهمن24[[#This Row],[کارکرد]]*حق_خواربار/30)</f>
        <v/>
      </c>
      <c r="O396" s="46" t="str">
        <f>IFERROR(ج_ح_بهمن24[[#This Row],[حقوق پایه]]+ج_ح_بهمن24[[#This Row],[اضافه کاری]]+ج_ح_بهمن24[[#This Row],[حق مسکن]]+ج_ح_بهمن24[[#This Row],[حق اولاد]]+ج_ح_بهمن24[[#This Row],[حق و خواروبار]],"")</f>
        <v/>
      </c>
      <c r="P396"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96" s="46" t="str">
        <f>IFERROR(ج_ح_بهمن24[[#This Row],[حقوق پایه]]+ج_ح_بهمن24[[#This Row],[اضافه کاری]]-(2/7)*ج_ح_بهمن24[[#This Row],[بیمه پرداختنی]],"")</f>
        <v/>
      </c>
      <c r="R396" s="45"/>
      <c r="S396" s="45"/>
      <c r="T396" s="46" t="str">
        <f>IFERROR(ج_ح_بهمن24[[#This Row],[جمع ح و م م بیمه ]]*7%,"")</f>
        <v/>
      </c>
      <c r="U396"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96" s="46" t="str">
        <f>IFERROR(ج_ح_بهمن24[[#This Row],[وام]]+ج_ح_بهمن24[[#This Row],[مساعده]]+ج_ح_بهمن24[[#This Row],[بیمه پرداختنی]]+ج_ح_بهمن24[[#This Row],[مالیات پرداختنی]],"")</f>
        <v/>
      </c>
      <c r="W396" s="46" t="str">
        <f>IFERROR(ج_ح_بهمن24[[#This Row],[جمع ح و م]]-ج_ح_بهمن24[[#This Row],[جمع کسورات]],"")</f>
        <v/>
      </c>
    </row>
    <row r="397" spans="2:23" s="41" customFormat="1" ht="32.1" customHeight="1">
      <c r="B397" s="41">
        <f t="shared" si="9"/>
        <v>11</v>
      </c>
      <c r="C397" s="42" t="str">
        <f>IF(ج_ح_بهمن24[[#This Row],[نام]]&lt;&gt;"",ROW()-377+1,"")</f>
        <v/>
      </c>
      <c r="D397" s="43"/>
      <c r="E397" s="43"/>
      <c r="F397" s="44"/>
      <c r="G397" s="45"/>
      <c r="H397" s="46" t="str">
        <f>IF(ج_ح_بهمن24[[#This Row],[کارکرد]]*ج_ح_بهمن24[[#This Row],[دستمزد روزانه ]]=0,"",ج_ح_بهمن24[[#This Row],[کارکرد]]*ج_ح_بهمن24[[#This Row],[دستمزد روزانه ]])</f>
        <v/>
      </c>
      <c r="I397" s="47"/>
      <c r="J397" s="48">
        <f>(ج_ح_بهمن24[[#This Row],[دستمزد روزانه ]]/7.33)*1.4*ج_ح_بهمن24[[#This Row],[مدت اضافه کاری ]]</f>
        <v>0</v>
      </c>
      <c r="K397" s="46" t="str">
        <f>IF(ج_ح_بهمن24[[#This Row],[کارکرد]]="","",ج_ح_بهمن24[[#This Row],[کارکرد]]*حق_مسکن/30)</f>
        <v/>
      </c>
      <c r="L397" s="49"/>
      <c r="M397" s="46" t="str">
        <f>IF(ج_ح_بهمن24[[#This Row],[تعداد فرزندان]]="","",ج_ح_بهمن24[[#This Row],[کارکرد]]/30*3*ج_ح_بهمن24[[#This Row],[تعداد فرزندان]]*حداقل_حقوق_پایه_روزانه)</f>
        <v/>
      </c>
      <c r="N397" s="46" t="str">
        <f>IF(ج_ح_بهمن24[[#This Row],[کارکرد]]="","",ج_ح_بهمن24[[#This Row],[کارکرد]]*حق_خواربار/30)</f>
        <v/>
      </c>
      <c r="O397" s="46" t="str">
        <f>IFERROR(ج_ح_بهمن24[[#This Row],[حقوق پایه]]+ج_ح_بهمن24[[#This Row],[اضافه کاری]]+ج_ح_بهمن24[[#This Row],[حق مسکن]]+ج_ح_بهمن24[[#This Row],[حق اولاد]]+ج_ح_بهمن24[[#This Row],[حق و خواروبار]],"")</f>
        <v/>
      </c>
      <c r="P397"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97" s="46" t="str">
        <f>IFERROR(ج_ح_بهمن24[[#This Row],[حقوق پایه]]+ج_ح_بهمن24[[#This Row],[اضافه کاری]]-(2/7)*ج_ح_بهمن24[[#This Row],[بیمه پرداختنی]],"")</f>
        <v/>
      </c>
      <c r="R397" s="45"/>
      <c r="S397" s="45"/>
      <c r="T397" s="46" t="str">
        <f>IFERROR(ج_ح_بهمن24[[#This Row],[جمع ح و م م بیمه ]]*7%,"")</f>
        <v/>
      </c>
      <c r="U397"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97" s="46" t="str">
        <f>IFERROR(ج_ح_بهمن24[[#This Row],[وام]]+ج_ح_بهمن24[[#This Row],[مساعده]]+ج_ح_بهمن24[[#This Row],[بیمه پرداختنی]]+ج_ح_بهمن24[[#This Row],[مالیات پرداختنی]],"")</f>
        <v/>
      </c>
      <c r="W397" s="46" t="str">
        <f>IFERROR(ج_ح_بهمن24[[#This Row],[جمع ح و م]]-ج_ح_بهمن24[[#This Row],[جمع کسورات]],"")</f>
        <v/>
      </c>
    </row>
    <row r="398" spans="2:23" s="41" customFormat="1" ht="32.1" customHeight="1">
      <c r="B398" s="41">
        <f t="shared" si="9"/>
        <v>11</v>
      </c>
      <c r="C398" s="42" t="str">
        <f>IF(ج_ح_بهمن24[[#This Row],[نام]]&lt;&gt;"",ROW()-377+1,"")</f>
        <v/>
      </c>
      <c r="D398" s="43"/>
      <c r="E398" s="43"/>
      <c r="F398" s="44"/>
      <c r="G398" s="45"/>
      <c r="H398" s="46" t="str">
        <f>IF(ج_ح_بهمن24[[#This Row],[کارکرد]]*ج_ح_بهمن24[[#This Row],[دستمزد روزانه ]]=0,"",ج_ح_بهمن24[[#This Row],[کارکرد]]*ج_ح_بهمن24[[#This Row],[دستمزد روزانه ]])</f>
        <v/>
      </c>
      <c r="I398" s="47"/>
      <c r="J398" s="48">
        <f>(ج_ح_بهمن24[[#This Row],[دستمزد روزانه ]]/7.33)*1.4*ج_ح_بهمن24[[#This Row],[مدت اضافه کاری ]]</f>
        <v>0</v>
      </c>
      <c r="K398" s="46" t="str">
        <f>IF(ج_ح_بهمن24[[#This Row],[کارکرد]]="","",ج_ح_بهمن24[[#This Row],[کارکرد]]*حق_مسکن/30)</f>
        <v/>
      </c>
      <c r="L398" s="49"/>
      <c r="M398" s="46" t="str">
        <f>IF(ج_ح_بهمن24[[#This Row],[تعداد فرزندان]]="","",ج_ح_بهمن24[[#This Row],[کارکرد]]/30*3*ج_ح_بهمن24[[#This Row],[تعداد فرزندان]]*حداقل_حقوق_پایه_روزانه)</f>
        <v/>
      </c>
      <c r="N398" s="46" t="str">
        <f>IF(ج_ح_بهمن24[[#This Row],[کارکرد]]="","",ج_ح_بهمن24[[#This Row],[کارکرد]]*حق_خواربار/30)</f>
        <v/>
      </c>
      <c r="O398" s="46" t="str">
        <f>IFERROR(ج_ح_بهمن24[[#This Row],[حقوق پایه]]+ج_ح_بهمن24[[#This Row],[اضافه کاری]]+ج_ح_بهمن24[[#This Row],[حق مسکن]]+ج_ح_بهمن24[[#This Row],[حق اولاد]]+ج_ح_بهمن24[[#This Row],[حق و خواروبار]],"")</f>
        <v/>
      </c>
      <c r="P398"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98" s="46" t="str">
        <f>IFERROR(ج_ح_بهمن24[[#This Row],[حقوق پایه]]+ج_ح_بهمن24[[#This Row],[اضافه کاری]]-(2/7)*ج_ح_بهمن24[[#This Row],[بیمه پرداختنی]],"")</f>
        <v/>
      </c>
      <c r="R398" s="45"/>
      <c r="S398" s="45"/>
      <c r="T398" s="46" t="str">
        <f>IFERROR(ج_ح_بهمن24[[#This Row],[جمع ح و م م بیمه ]]*7%,"")</f>
        <v/>
      </c>
      <c r="U398"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98" s="46" t="str">
        <f>IFERROR(ج_ح_بهمن24[[#This Row],[وام]]+ج_ح_بهمن24[[#This Row],[مساعده]]+ج_ح_بهمن24[[#This Row],[بیمه پرداختنی]]+ج_ح_بهمن24[[#This Row],[مالیات پرداختنی]],"")</f>
        <v/>
      </c>
      <c r="W398" s="46" t="str">
        <f>IFERROR(ج_ح_بهمن24[[#This Row],[جمع ح و م]]-ج_ح_بهمن24[[#This Row],[جمع کسورات]],"")</f>
        <v/>
      </c>
    </row>
    <row r="399" spans="2:23" s="41" customFormat="1" ht="32.1" customHeight="1">
      <c r="B399" s="41">
        <f t="shared" si="9"/>
        <v>11</v>
      </c>
      <c r="C399" s="42" t="str">
        <f>IF(ج_ح_بهمن24[[#This Row],[نام]]&lt;&gt;"",ROW()-377+1,"")</f>
        <v/>
      </c>
      <c r="D399" s="43"/>
      <c r="E399" s="43"/>
      <c r="F399" s="44"/>
      <c r="G399" s="45"/>
      <c r="H399" s="46" t="str">
        <f>IF(ج_ح_بهمن24[[#This Row],[کارکرد]]*ج_ح_بهمن24[[#This Row],[دستمزد روزانه ]]=0,"",ج_ح_بهمن24[[#This Row],[کارکرد]]*ج_ح_بهمن24[[#This Row],[دستمزد روزانه ]])</f>
        <v/>
      </c>
      <c r="I399" s="47"/>
      <c r="J399" s="48">
        <f>(ج_ح_بهمن24[[#This Row],[دستمزد روزانه ]]/7.33)*1.4*ج_ح_بهمن24[[#This Row],[مدت اضافه کاری ]]</f>
        <v>0</v>
      </c>
      <c r="K399" s="46" t="str">
        <f>IF(ج_ح_بهمن24[[#This Row],[کارکرد]]="","",ج_ح_بهمن24[[#This Row],[کارکرد]]*حق_مسکن/30)</f>
        <v/>
      </c>
      <c r="L399" s="49"/>
      <c r="M399" s="46" t="str">
        <f>IF(ج_ح_بهمن24[[#This Row],[تعداد فرزندان]]="","",ج_ح_بهمن24[[#This Row],[کارکرد]]/30*3*ج_ح_بهمن24[[#This Row],[تعداد فرزندان]]*حداقل_حقوق_پایه_روزانه)</f>
        <v/>
      </c>
      <c r="N399" s="46" t="str">
        <f>IF(ج_ح_بهمن24[[#This Row],[کارکرد]]="","",ج_ح_بهمن24[[#This Row],[کارکرد]]*حق_خواربار/30)</f>
        <v/>
      </c>
      <c r="O399" s="46" t="str">
        <f>IFERROR(ج_ح_بهمن24[[#This Row],[حقوق پایه]]+ج_ح_بهمن24[[#This Row],[اضافه کاری]]+ج_ح_بهمن24[[#This Row],[حق مسکن]]+ج_ح_بهمن24[[#This Row],[حق اولاد]]+ج_ح_بهمن24[[#This Row],[حق و خواروبار]],"")</f>
        <v/>
      </c>
      <c r="P399"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399" s="46" t="str">
        <f>IFERROR(ج_ح_بهمن24[[#This Row],[حقوق پایه]]+ج_ح_بهمن24[[#This Row],[اضافه کاری]]-(2/7)*ج_ح_بهمن24[[#This Row],[بیمه پرداختنی]],"")</f>
        <v/>
      </c>
      <c r="R399" s="45"/>
      <c r="S399" s="45"/>
      <c r="T399" s="46" t="str">
        <f>IFERROR(ج_ح_بهمن24[[#This Row],[جمع ح و م م بیمه ]]*7%,"")</f>
        <v/>
      </c>
      <c r="U399"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399" s="46" t="str">
        <f>IFERROR(ج_ح_بهمن24[[#This Row],[وام]]+ج_ح_بهمن24[[#This Row],[مساعده]]+ج_ح_بهمن24[[#This Row],[بیمه پرداختنی]]+ج_ح_بهمن24[[#This Row],[مالیات پرداختنی]],"")</f>
        <v/>
      </c>
      <c r="W399" s="46" t="str">
        <f>IFERROR(ج_ح_بهمن24[[#This Row],[جمع ح و م]]-ج_ح_بهمن24[[#This Row],[جمع کسورات]],"")</f>
        <v/>
      </c>
    </row>
    <row r="400" spans="2:23" s="41" customFormat="1" ht="32.1" customHeight="1">
      <c r="B400" s="41">
        <f t="shared" si="9"/>
        <v>11</v>
      </c>
      <c r="C400" s="42" t="str">
        <f>IF(ج_ح_بهمن24[[#This Row],[نام]]&lt;&gt;"",ROW()-377+1,"")</f>
        <v/>
      </c>
      <c r="D400" s="43"/>
      <c r="E400" s="43"/>
      <c r="F400" s="44"/>
      <c r="G400" s="45"/>
      <c r="H400" s="46" t="str">
        <f>IF(ج_ح_بهمن24[[#This Row],[کارکرد]]*ج_ح_بهمن24[[#This Row],[دستمزد روزانه ]]=0,"",ج_ح_بهمن24[[#This Row],[کارکرد]]*ج_ح_بهمن24[[#This Row],[دستمزد روزانه ]])</f>
        <v/>
      </c>
      <c r="I400" s="47"/>
      <c r="J400" s="48">
        <f>(ج_ح_بهمن24[[#This Row],[دستمزد روزانه ]]/7.33)*1.4*ج_ح_بهمن24[[#This Row],[مدت اضافه کاری ]]</f>
        <v>0</v>
      </c>
      <c r="K400" s="46" t="str">
        <f>IF(ج_ح_بهمن24[[#This Row],[کارکرد]]="","",ج_ح_بهمن24[[#This Row],[کارکرد]]*حق_مسکن/30)</f>
        <v/>
      </c>
      <c r="L400" s="49"/>
      <c r="M400" s="46" t="str">
        <f>IF(ج_ح_بهمن24[[#This Row],[تعداد فرزندان]]="","",ج_ح_بهمن24[[#This Row],[کارکرد]]/30*3*ج_ح_بهمن24[[#This Row],[تعداد فرزندان]]*حداقل_حقوق_پایه_روزانه)</f>
        <v/>
      </c>
      <c r="N400" s="46" t="str">
        <f>IF(ج_ح_بهمن24[[#This Row],[کارکرد]]="","",ج_ح_بهمن24[[#This Row],[کارکرد]]*حق_خواربار/30)</f>
        <v/>
      </c>
      <c r="O400" s="46" t="str">
        <f>IFERROR(ج_ح_بهمن24[[#This Row],[حقوق پایه]]+ج_ح_بهمن24[[#This Row],[اضافه کاری]]+ج_ح_بهمن24[[#This Row],[حق مسکن]]+ج_ح_بهمن24[[#This Row],[حق اولاد]]+ج_ح_بهمن24[[#This Row],[حق و خواروبار]],"")</f>
        <v/>
      </c>
      <c r="P400"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400" s="46" t="str">
        <f>IFERROR(ج_ح_بهمن24[[#This Row],[حقوق پایه]]+ج_ح_بهمن24[[#This Row],[اضافه کاری]]-(2/7)*ج_ح_بهمن24[[#This Row],[بیمه پرداختنی]],"")</f>
        <v/>
      </c>
      <c r="R400" s="45"/>
      <c r="S400" s="45"/>
      <c r="T400" s="46" t="str">
        <f>IFERROR(ج_ح_بهمن24[[#This Row],[جمع ح و م م بیمه ]]*7%,"")</f>
        <v/>
      </c>
      <c r="U400"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400" s="46" t="str">
        <f>IFERROR(ج_ح_بهمن24[[#This Row],[وام]]+ج_ح_بهمن24[[#This Row],[مساعده]]+ج_ح_بهمن24[[#This Row],[بیمه پرداختنی]]+ج_ح_بهمن24[[#This Row],[مالیات پرداختنی]],"")</f>
        <v/>
      </c>
      <c r="W400" s="46" t="str">
        <f>IFERROR(ج_ح_بهمن24[[#This Row],[جمع ح و م]]-ج_ح_بهمن24[[#This Row],[جمع کسورات]],"")</f>
        <v/>
      </c>
    </row>
    <row r="401" spans="1:23" s="41" customFormat="1" ht="32.1" customHeight="1">
      <c r="B401" s="41">
        <f t="shared" si="9"/>
        <v>11</v>
      </c>
      <c r="C401" s="42" t="str">
        <f>IF(ج_ح_بهمن24[[#This Row],[نام]]&lt;&gt;"",ROW()-377+1,"")</f>
        <v/>
      </c>
      <c r="D401" s="43"/>
      <c r="E401" s="43"/>
      <c r="F401" s="44"/>
      <c r="G401" s="45"/>
      <c r="H401" s="46" t="str">
        <f>IF(ج_ح_بهمن24[[#This Row],[کارکرد]]*ج_ح_بهمن24[[#This Row],[دستمزد روزانه ]]=0,"",ج_ح_بهمن24[[#This Row],[کارکرد]]*ج_ح_بهمن24[[#This Row],[دستمزد روزانه ]])</f>
        <v/>
      </c>
      <c r="I401" s="47"/>
      <c r="J401" s="48">
        <f>(ج_ح_بهمن24[[#This Row],[دستمزد روزانه ]]/7.33)*1.4*ج_ح_بهمن24[[#This Row],[مدت اضافه کاری ]]</f>
        <v>0</v>
      </c>
      <c r="K401" s="46" t="str">
        <f>IF(ج_ح_بهمن24[[#This Row],[کارکرد]]="","",ج_ح_بهمن24[[#This Row],[کارکرد]]*حق_مسکن/30)</f>
        <v/>
      </c>
      <c r="L401" s="49"/>
      <c r="M401" s="46" t="str">
        <f>IF(ج_ح_بهمن24[[#This Row],[تعداد فرزندان]]="","",ج_ح_بهمن24[[#This Row],[کارکرد]]/30*3*ج_ح_بهمن24[[#This Row],[تعداد فرزندان]]*حداقل_حقوق_پایه_روزانه)</f>
        <v/>
      </c>
      <c r="N401" s="46" t="str">
        <f>IF(ج_ح_بهمن24[[#This Row],[کارکرد]]="","",ج_ح_بهمن24[[#This Row],[کارکرد]]*حق_خواربار/30)</f>
        <v/>
      </c>
      <c r="O401" s="46" t="str">
        <f>IFERROR(ج_ح_بهمن24[[#This Row],[حقوق پایه]]+ج_ح_بهمن24[[#This Row],[اضافه کاری]]+ج_ح_بهمن24[[#This Row],[حق مسکن]]+ج_ح_بهمن24[[#This Row],[حق اولاد]]+ج_ح_بهمن24[[#This Row],[حق و خواروبار]],"")</f>
        <v/>
      </c>
      <c r="P401"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401" s="46" t="str">
        <f>IFERROR(ج_ح_بهمن24[[#This Row],[حقوق پایه]]+ج_ح_بهمن24[[#This Row],[اضافه کاری]]-(2/7)*ج_ح_بهمن24[[#This Row],[بیمه پرداختنی]],"")</f>
        <v/>
      </c>
      <c r="R401" s="45"/>
      <c r="S401" s="45"/>
      <c r="T401" s="46" t="str">
        <f>IFERROR(ج_ح_بهمن24[[#This Row],[جمع ح و م م بیمه ]]*7%,"")</f>
        <v/>
      </c>
      <c r="U401"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401" s="46" t="str">
        <f>IFERROR(ج_ح_بهمن24[[#This Row],[وام]]+ج_ح_بهمن24[[#This Row],[مساعده]]+ج_ح_بهمن24[[#This Row],[بیمه پرداختنی]]+ج_ح_بهمن24[[#This Row],[مالیات پرداختنی]],"")</f>
        <v/>
      </c>
      <c r="W401" s="46" t="str">
        <f>IFERROR(ج_ح_بهمن24[[#This Row],[جمع ح و م]]-ج_ح_بهمن24[[#This Row],[جمع کسورات]],"")</f>
        <v/>
      </c>
    </row>
    <row r="402" spans="1:23" s="41" customFormat="1" ht="32.1" customHeight="1">
      <c r="B402" s="41">
        <f t="shared" si="9"/>
        <v>11</v>
      </c>
      <c r="C402" s="42" t="str">
        <f>IF(ج_ح_بهمن24[[#This Row],[نام]]&lt;&gt;"",ROW()-377+1,"")</f>
        <v/>
      </c>
      <c r="D402" s="43"/>
      <c r="E402" s="43"/>
      <c r="F402" s="44"/>
      <c r="G402" s="45"/>
      <c r="H402" s="46" t="str">
        <f>IF(ج_ح_بهمن24[[#This Row],[کارکرد]]*ج_ح_بهمن24[[#This Row],[دستمزد روزانه ]]=0,"",ج_ح_بهمن24[[#This Row],[کارکرد]]*ج_ح_بهمن24[[#This Row],[دستمزد روزانه ]])</f>
        <v/>
      </c>
      <c r="I402" s="47"/>
      <c r="J402" s="48">
        <f>(ج_ح_بهمن24[[#This Row],[دستمزد روزانه ]]/7.33)*1.4*ج_ح_بهمن24[[#This Row],[مدت اضافه کاری ]]</f>
        <v>0</v>
      </c>
      <c r="K402" s="46" t="str">
        <f>IF(ج_ح_بهمن24[[#This Row],[کارکرد]]="","",ج_ح_بهمن24[[#This Row],[کارکرد]]*حق_مسکن/30)</f>
        <v/>
      </c>
      <c r="L402" s="49"/>
      <c r="M402" s="46" t="str">
        <f>IF(ج_ح_بهمن24[[#This Row],[تعداد فرزندان]]="","",ج_ح_بهمن24[[#This Row],[کارکرد]]/30*3*ج_ح_بهمن24[[#This Row],[تعداد فرزندان]]*حداقل_حقوق_پایه_روزانه)</f>
        <v/>
      </c>
      <c r="N402" s="46" t="str">
        <f>IF(ج_ح_بهمن24[[#This Row],[کارکرد]]="","",ج_ح_بهمن24[[#This Row],[کارکرد]]*حق_خواربار/30)</f>
        <v/>
      </c>
      <c r="O402" s="46" t="str">
        <f>IFERROR(ج_ح_بهمن24[[#This Row],[حقوق پایه]]+ج_ح_بهمن24[[#This Row],[اضافه کاری]]+ج_ح_بهمن24[[#This Row],[حق مسکن]]+ج_ح_بهمن24[[#This Row],[حق اولاد]]+ج_ح_بهمن24[[#This Row],[حق و خواروبار]],"")</f>
        <v/>
      </c>
      <c r="P402"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402" s="46" t="str">
        <f>IFERROR(ج_ح_بهمن24[[#This Row],[حقوق پایه]]+ج_ح_بهمن24[[#This Row],[اضافه کاری]]-(2/7)*ج_ح_بهمن24[[#This Row],[بیمه پرداختنی]],"")</f>
        <v/>
      </c>
      <c r="R402" s="45"/>
      <c r="S402" s="45"/>
      <c r="T402" s="46" t="str">
        <f>IFERROR(ج_ح_بهمن24[[#This Row],[جمع ح و م م بیمه ]]*7%,"")</f>
        <v/>
      </c>
      <c r="U402"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402" s="46" t="str">
        <f>IFERROR(ج_ح_بهمن24[[#This Row],[وام]]+ج_ح_بهمن24[[#This Row],[مساعده]]+ج_ح_بهمن24[[#This Row],[بیمه پرداختنی]]+ج_ح_بهمن24[[#This Row],[مالیات پرداختنی]],"")</f>
        <v/>
      </c>
      <c r="W402" s="46" t="str">
        <f>IFERROR(ج_ح_بهمن24[[#This Row],[جمع ح و م]]-ج_ح_بهمن24[[#This Row],[جمع کسورات]],"")</f>
        <v/>
      </c>
    </row>
    <row r="403" spans="1:23" s="41" customFormat="1" ht="32.1" customHeight="1">
      <c r="B403" s="41">
        <f t="shared" si="9"/>
        <v>11</v>
      </c>
      <c r="C403" s="42" t="str">
        <f>IF(ج_ح_بهمن24[[#This Row],[نام]]&lt;&gt;"",ROW()-377+1,"")</f>
        <v/>
      </c>
      <c r="D403" s="43"/>
      <c r="E403" s="43"/>
      <c r="F403" s="44"/>
      <c r="G403" s="45"/>
      <c r="H403" s="46" t="str">
        <f>IF(ج_ح_بهمن24[[#This Row],[کارکرد]]*ج_ح_بهمن24[[#This Row],[دستمزد روزانه ]]=0,"",ج_ح_بهمن24[[#This Row],[کارکرد]]*ج_ح_بهمن24[[#This Row],[دستمزد روزانه ]])</f>
        <v/>
      </c>
      <c r="I403" s="47"/>
      <c r="J403" s="48">
        <f>(ج_ح_بهمن24[[#This Row],[دستمزد روزانه ]]/7.33)*1.4*ج_ح_بهمن24[[#This Row],[مدت اضافه کاری ]]</f>
        <v>0</v>
      </c>
      <c r="K403" s="46" t="str">
        <f>IF(ج_ح_بهمن24[[#This Row],[کارکرد]]="","",ج_ح_بهمن24[[#This Row],[کارکرد]]*حق_مسکن/30)</f>
        <v/>
      </c>
      <c r="L403" s="49"/>
      <c r="M403" s="46" t="str">
        <f>IF(ج_ح_بهمن24[[#This Row],[تعداد فرزندان]]="","",ج_ح_بهمن24[[#This Row],[کارکرد]]/30*3*ج_ح_بهمن24[[#This Row],[تعداد فرزندان]]*حداقل_حقوق_پایه_روزانه)</f>
        <v/>
      </c>
      <c r="N403" s="46" t="str">
        <f>IF(ج_ح_بهمن24[[#This Row],[کارکرد]]="","",ج_ح_بهمن24[[#This Row],[کارکرد]]*حق_خواربار/30)</f>
        <v/>
      </c>
      <c r="O403" s="46" t="str">
        <f>IFERROR(ج_ح_بهمن24[[#This Row],[حقوق پایه]]+ج_ح_بهمن24[[#This Row],[اضافه کاری]]+ج_ح_بهمن24[[#This Row],[حق مسکن]]+ج_ح_بهمن24[[#This Row],[حق اولاد]]+ج_ح_بهمن24[[#This Row],[حق و خواروبار]],"")</f>
        <v/>
      </c>
      <c r="P403"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403" s="46" t="str">
        <f>IFERROR(ج_ح_بهمن24[[#This Row],[حقوق پایه]]+ج_ح_بهمن24[[#This Row],[اضافه کاری]]-(2/7)*ج_ح_بهمن24[[#This Row],[بیمه پرداختنی]],"")</f>
        <v/>
      </c>
      <c r="R403" s="45"/>
      <c r="S403" s="45"/>
      <c r="T403" s="46" t="str">
        <f>IFERROR(ج_ح_بهمن24[[#This Row],[جمع ح و م م بیمه ]]*7%,"")</f>
        <v/>
      </c>
      <c r="U403"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403" s="46" t="str">
        <f>IFERROR(ج_ح_بهمن24[[#This Row],[وام]]+ج_ح_بهمن24[[#This Row],[مساعده]]+ج_ح_بهمن24[[#This Row],[بیمه پرداختنی]]+ج_ح_بهمن24[[#This Row],[مالیات پرداختنی]],"")</f>
        <v/>
      </c>
      <c r="W403" s="46" t="str">
        <f>IFERROR(ج_ح_بهمن24[[#This Row],[جمع ح و م]]-ج_ح_بهمن24[[#This Row],[جمع کسورات]],"")</f>
        <v/>
      </c>
    </row>
    <row r="404" spans="1:23" s="41" customFormat="1" ht="32.1" customHeight="1">
      <c r="B404" s="41">
        <f t="shared" si="9"/>
        <v>11</v>
      </c>
      <c r="C404" s="42" t="str">
        <f>IF(ج_ح_بهمن24[[#This Row],[نام]]&lt;&gt;"",ROW()-377+1,"")</f>
        <v/>
      </c>
      <c r="D404" s="43"/>
      <c r="E404" s="43"/>
      <c r="F404" s="44"/>
      <c r="G404" s="45"/>
      <c r="H404" s="46" t="str">
        <f>IF(ج_ح_بهمن24[[#This Row],[کارکرد]]*ج_ح_بهمن24[[#This Row],[دستمزد روزانه ]]=0,"",ج_ح_بهمن24[[#This Row],[کارکرد]]*ج_ح_بهمن24[[#This Row],[دستمزد روزانه ]])</f>
        <v/>
      </c>
      <c r="I404" s="47"/>
      <c r="J404" s="48">
        <f>(ج_ح_بهمن24[[#This Row],[دستمزد روزانه ]]/7.33)*1.4*ج_ح_بهمن24[[#This Row],[مدت اضافه کاری ]]</f>
        <v>0</v>
      </c>
      <c r="K404" s="46" t="str">
        <f>IF(ج_ح_بهمن24[[#This Row],[کارکرد]]="","",ج_ح_بهمن24[[#This Row],[کارکرد]]*حق_مسکن/30)</f>
        <v/>
      </c>
      <c r="L404" s="49"/>
      <c r="M404" s="46" t="str">
        <f>IF(ج_ح_بهمن24[[#This Row],[تعداد فرزندان]]="","",ج_ح_بهمن24[[#This Row],[کارکرد]]/30*3*ج_ح_بهمن24[[#This Row],[تعداد فرزندان]]*حداقل_حقوق_پایه_روزانه)</f>
        <v/>
      </c>
      <c r="N404" s="46" t="str">
        <f>IF(ج_ح_بهمن24[[#This Row],[کارکرد]]="","",ج_ح_بهمن24[[#This Row],[کارکرد]]*حق_خواربار/30)</f>
        <v/>
      </c>
      <c r="O404" s="46" t="str">
        <f>IFERROR(ج_ح_بهمن24[[#This Row],[حقوق پایه]]+ج_ح_بهمن24[[#This Row],[اضافه کاری]]+ج_ح_بهمن24[[#This Row],[حق مسکن]]+ج_ح_بهمن24[[#This Row],[حق اولاد]]+ج_ح_بهمن24[[#This Row],[حق و خواروبار]],"")</f>
        <v/>
      </c>
      <c r="P404"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404" s="46" t="str">
        <f>IFERROR(ج_ح_بهمن24[[#This Row],[حقوق پایه]]+ج_ح_بهمن24[[#This Row],[اضافه کاری]]-(2/7)*ج_ح_بهمن24[[#This Row],[بیمه پرداختنی]],"")</f>
        <v/>
      </c>
      <c r="R404" s="45"/>
      <c r="S404" s="45"/>
      <c r="T404" s="46" t="str">
        <f>IFERROR(ج_ح_بهمن24[[#This Row],[جمع ح و م م بیمه ]]*7%,"")</f>
        <v/>
      </c>
      <c r="U404"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404" s="46" t="str">
        <f>IFERROR(ج_ح_بهمن24[[#This Row],[وام]]+ج_ح_بهمن24[[#This Row],[مساعده]]+ج_ح_بهمن24[[#This Row],[بیمه پرداختنی]]+ج_ح_بهمن24[[#This Row],[مالیات پرداختنی]],"")</f>
        <v/>
      </c>
      <c r="W404" s="46" t="str">
        <f>IFERROR(ج_ح_بهمن24[[#This Row],[جمع ح و م]]-ج_ح_بهمن24[[#This Row],[جمع کسورات]],"")</f>
        <v/>
      </c>
    </row>
    <row r="405" spans="1:23" s="41" customFormat="1" ht="32.1" customHeight="1">
      <c r="B405" s="41">
        <f t="shared" si="9"/>
        <v>11</v>
      </c>
      <c r="C405" s="42" t="str">
        <f>IF(ج_ح_بهمن24[[#This Row],[نام]]&lt;&gt;"",ROW()-377+1,"")</f>
        <v/>
      </c>
      <c r="D405" s="43"/>
      <c r="E405" s="43"/>
      <c r="F405" s="44"/>
      <c r="G405" s="45"/>
      <c r="H405" s="46" t="str">
        <f>IF(ج_ح_بهمن24[[#This Row],[کارکرد]]*ج_ح_بهمن24[[#This Row],[دستمزد روزانه ]]=0,"",ج_ح_بهمن24[[#This Row],[کارکرد]]*ج_ح_بهمن24[[#This Row],[دستمزد روزانه ]])</f>
        <v/>
      </c>
      <c r="I405" s="47"/>
      <c r="J405" s="48">
        <f>(ج_ح_بهمن24[[#This Row],[دستمزد روزانه ]]/7.33)*1.4*ج_ح_بهمن24[[#This Row],[مدت اضافه کاری ]]</f>
        <v>0</v>
      </c>
      <c r="K405" s="46" t="str">
        <f>IF(ج_ح_بهمن24[[#This Row],[کارکرد]]="","",ج_ح_بهمن24[[#This Row],[کارکرد]]*حق_مسکن/30)</f>
        <v/>
      </c>
      <c r="L405" s="49"/>
      <c r="M405" s="46" t="str">
        <f>IF(ج_ح_بهمن24[[#This Row],[تعداد فرزندان]]="","",ج_ح_بهمن24[[#This Row],[کارکرد]]/30*3*ج_ح_بهمن24[[#This Row],[تعداد فرزندان]]*حداقل_حقوق_پایه_روزانه)</f>
        <v/>
      </c>
      <c r="N405" s="46" t="str">
        <f>IF(ج_ح_بهمن24[[#This Row],[کارکرد]]="","",ج_ح_بهمن24[[#This Row],[کارکرد]]*حق_خواربار/30)</f>
        <v/>
      </c>
      <c r="O405" s="46" t="str">
        <f>IFERROR(ج_ح_بهمن24[[#This Row],[حقوق پایه]]+ج_ح_بهمن24[[#This Row],[اضافه کاری]]+ج_ح_بهمن24[[#This Row],[حق مسکن]]+ج_ح_بهمن24[[#This Row],[حق اولاد]]+ج_ح_بهمن24[[#This Row],[حق و خواروبار]],"")</f>
        <v/>
      </c>
      <c r="P405"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405" s="46" t="str">
        <f>IFERROR(ج_ح_بهمن24[[#This Row],[حقوق پایه]]+ج_ح_بهمن24[[#This Row],[اضافه کاری]]-(2/7)*ج_ح_بهمن24[[#This Row],[بیمه پرداختنی]],"")</f>
        <v/>
      </c>
      <c r="R405" s="45"/>
      <c r="S405" s="45"/>
      <c r="T405" s="46" t="str">
        <f>IFERROR(ج_ح_بهمن24[[#This Row],[جمع ح و م م بیمه ]]*7%,"")</f>
        <v/>
      </c>
      <c r="U405"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405" s="46" t="str">
        <f>IFERROR(ج_ح_بهمن24[[#This Row],[وام]]+ج_ح_بهمن24[[#This Row],[مساعده]]+ج_ح_بهمن24[[#This Row],[بیمه پرداختنی]]+ج_ح_بهمن24[[#This Row],[مالیات پرداختنی]],"")</f>
        <v/>
      </c>
      <c r="W405" s="46" t="str">
        <f>IFERROR(ج_ح_بهمن24[[#This Row],[جمع ح و م]]-ج_ح_بهمن24[[#This Row],[جمع کسورات]],"")</f>
        <v/>
      </c>
    </row>
    <row r="406" spans="1:23" s="41" customFormat="1" ht="32.1" customHeight="1">
      <c r="B406" s="41">
        <f t="shared" si="9"/>
        <v>11</v>
      </c>
      <c r="C406" s="42" t="str">
        <f>IF(ج_ح_بهمن24[[#This Row],[نام]]&lt;&gt;"",ROW()-377+1,"")</f>
        <v/>
      </c>
      <c r="D406" s="43"/>
      <c r="E406" s="43"/>
      <c r="F406" s="44"/>
      <c r="G406" s="45"/>
      <c r="H406" s="46" t="str">
        <f>IF(ج_ح_بهمن24[[#This Row],[کارکرد]]*ج_ح_بهمن24[[#This Row],[دستمزد روزانه ]]=0,"",ج_ح_بهمن24[[#This Row],[کارکرد]]*ج_ح_بهمن24[[#This Row],[دستمزد روزانه ]])</f>
        <v/>
      </c>
      <c r="I406" s="47"/>
      <c r="J406" s="48">
        <f>(ج_ح_بهمن24[[#This Row],[دستمزد روزانه ]]/7.33)*1.4*ج_ح_بهمن24[[#This Row],[مدت اضافه کاری ]]</f>
        <v>0</v>
      </c>
      <c r="K406" s="46" t="str">
        <f>IF(ج_ح_بهمن24[[#This Row],[کارکرد]]="","",ج_ح_بهمن24[[#This Row],[کارکرد]]*حق_مسکن/30)</f>
        <v/>
      </c>
      <c r="L406" s="49"/>
      <c r="M406" s="46" t="str">
        <f>IF(ج_ح_بهمن24[[#This Row],[تعداد فرزندان]]="","",ج_ح_بهمن24[[#This Row],[کارکرد]]/30*3*ج_ح_بهمن24[[#This Row],[تعداد فرزندان]]*حداقل_حقوق_پایه_روزانه)</f>
        <v/>
      </c>
      <c r="N406" s="46" t="str">
        <f>IF(ج_ح_بهمن24[[#This Row],[کارکرد]]="","",ج_ح_بهمن24[[#This Row],[کارکرد]]*حق_خواربار/30)</f>
        <v/>
      </c>
      <c r="O406" s="46" t="str">
        <f>IFERROR(ج_ح_بهمن24[[#This Row],[حقوق پایه]]+ج_ح_بهمن24[[#This Row],[اضافه کاری]]+ج_ح_بهمن24[[#This Row],[حق مسکن]]+ج_ح_بهمن24[[#This Row],[حق اولاد]]+ج_ح_بهمن24[[#This Row],[حق و خواروبار]],"")</f>
        <v/>
      </c>
      <c r="P406" s="46" t="str">
        <f>IFERROR(IF(ج_ح_بهمن24[[#This Row],[حقوق پایه]]+ج_ح_بهمن24[[#This Row],[اضافه کاری]]+ج_ح_بهمن24[[#This Row],[حق مسکن]]+ج_ح_بهمن24[[#This Row],[حق و خواروبار]]&gt;حداکثر_حقوق_مشمول_بیمه_ماهانه,حداکثر_حقوق_مشمول_بیمه_ماهانه,ج_ح_بهمن24[[#This Row],[حقوق پایه]]+ج_ح_بهمن24[[#This Row],[اضافه کاری]]+ج_ح_بهمن24[[#This Row],[حق مسکن]]+ج_ح_بهمن24[[#This Row],[حق و خواروبار]]),"")</f>
        <v/>
      </c>
      <c r="Q406" s="46" t="str">
        <f>IFERROR(ج_ح_بهمن24[[#This Row],[حقوق پایه]]+ج_ح_بهمن24[[#This Row],[اضافه کاری]]-(2/7)*ج_ح_بهمن24[[#This Row],[بیمه پرداختنی]],"")</f>
        <v/>
      </c>
      <c r="R406" s="45"/>
      <c r="S406" s="45"/>
      <c r="T406" s="46" t="str">
        <f>IFERROR(ج_ح_بهمن24[[#This Row],[جمع ح و م م بیمه ]]*7%,"")</f>
        <v/>
      </c>
      <c r="U406" s="50" t="str">
        <f>IFERROR(IF(ج_ح_بهمن24[[#This Row],[جمع ح و م م مالیات]]&gt;=320000000,(ج_ح_بهمن24[[#This Row],[جمع ح و م م مالیات]]-320000000)*35%+61000000,
IF(ج_ح_بهمن24[[#This Row],[جمع ح و م م مالیات]]&gt;=240000000,(ج_ح_بهمن24[[#This Row],[جمع ح و م م مالیات]]-240000000)*30%+37000000,
IF(ج_ح_بهمن24[[#This Row],[جمع ح و م م مالیات]]&gt;=180000000,(ج_ح_بهمن24[[#This Row],[جمع ح و م م مالیات]]-180000000)*25%+22000000,
IF(ج_ح_بهمن24[[#This Row],[جمع ح و م م مالیات]]&gt;=120000000,(ج_ح_بهمن24[[#This Row],[جمع ح و م م مالیات]]-120000000)*20%+10000000,
IF(ج_ح_بهمن24[[#This Row],[جمع ح و م م مالیات]]&gt;=80000000,(ج_ح_بهمن24[[#This Row],[جمع ح و م م مالیات]]-80000000)*15%+4000000,
IF(ج_ح_بهمن24[[#This Row],[جمع ح و م م مالیات]]&gt;=40000000,(ج_ح_بهمن24[[#This Row],[جمع ح و م م مالیات]]-40000000)*10%,0)))))),"")</f>
        <v/>
      </c>
      <c r="V406" s="46" t="str">
        <f>IFERROR(ج_ح_بهمن24[[#This Row],[وام]]+ج_ح_بهمن24[[#This Row],[مساعده]]+ج_ح_بهمن24[[#This Row],[بیمه پرداختنی]]+ج_ح_بهمن24[[#This Row],[مالیات پرداختنی]],"")</f>
        <v/>
      </c>
      <c r="W406" s="46" t="str">
        <f>IFERROR(ج_ح_بهمن24[[#This Row],[جمع ح و م]]-ج_ح_بهمن24[[#This Row],[جمع کسورات]],"")</f>
        <v/>
      </c>
    </row>
    <row r="407" spans="1:23" ht="32.1" customHeight="1">
      <c r="B407" s="32">
        <f t="shared" si="9"/>
        <v>11</v>
      </c>
      <c r="C407" s="51"/>
      <c r="D407" s="52"/>
      <c r="E407" s="52" t="s">
        <v>124</v>
      </c>
      <c r="F407" s="53">
        <f>SUBTOTAL(109,ج_ح_بهمن24[کارکرد])</f>
        <v>30</v>
      </c>
      <c r="G407" s="54">
        <f>SUBTOTAL(109,ج_ح_بهمن24[[دستمزد روزانه ]])</f>
        <v>1000000</v>
      </c>
      <c r="H407" s="54">
        <f>SUBTOTAL(109,ج_ح_بهمن24[حقوق پایه])</f>
        <v>30000000</v>
      </c>
      <c r="I407" s="55">
        <f>SUBTOTAL(109,ج_ح_بهمن24[[مدت اضافه کاری ]])</f>
        <v>7.33</v>
      </c>
      <c r="J407" s="56">
        <f>SUBTOTAL(109,ج_ح_بهمن24[اضافه کاری])</f>
        <v>1400000</v>
      </c>
      <c r="K407" s="54">
        <f>SUBTOTAL(109,ج_ح_بهمن24[حق مسکن])</f>
        <v>0</v>
      </c>
      <c r="L407" s="57">
        <f>SUBTOTAL(109,ج_ح_بهمن24[تعداد فرزندان])</f>
        <v>1</v>
      </c>
      <c r="M407" s="54">
        <f>SUBTOTAL(109,ج_ح_بهمن24[حق اولاد])</f>
        <v>0</v>
      </c>
      <c r="N407" s="54">
        <f>SUBTOTAL(109,ج_ح_بهمن24[حق و خواروبار])</f>
        <v>0</v>
      </c>
      <c r="O407" s="54">
        <f>SUBTOTAL(109,ج_ح_بهمن24[جمع ح و م])</f>
        <v>31400000</v>
      </c>
      <c r="P407" s="54">
        <f>SUBTOTAL(109,ج_ح_بهمن24[[جمع ح و م م بیمه ]])</f>
        <v>0</v>
      </c>
      <c r="Q407" s="54">
        <f>SUBTOTAL(109,ج_ح_بهمن24[جمع ح و م م مالیات])</f>
        <v>0</v>
      </c>
      <c r="R407" s="54">
        <f>SUBTOTAL(109,ج_ح_بهمن24[وام])</f>
        <v>0</v>
      </c>
      <c r="S407" s="54">
        <f>SUBTOTAL(109,ج_ح_بهمن24[مساعده])</f>
        <v>0</v>
      </c>
      <c r="T407" s="54">
        <f>SUBTOTAL(109,ج_ح_بهمن24[بیمه پرداختنی])</f>
        <v>0</v>
      </c>
      <c r="U407" s="54">
        <f>SUBTOTAL(109,ج_ح_بهمن24[مالیات پرداختنی])</f>
        <v>0</v>
      </c>
      <c r="V407" s="54">
        <f>SUBTOTAL(109,ج_ح_بهمن24[جمع کسورات])</f>
        <v>0</v>
      </c>
      <c r="W407" s="54">
        <f>SUBTOTAL(109,ج_ح_بهمن24[خالص قابل پرداخت])</f>
        <v>0</v>
      </c>
    </row>
    <row r="408" spans="1:23" ht="8.1" customHeight="1"/>
    <row r="409" spans="1:23" s="33" customFormat="1" ht="39.950000000000003" customHeight="1">
      <c r="A409" s="34"/>
      <c r="B409" s="34"/>
      <c r="C409" s="107" t="s">
        <v>94</v>
      </c>
      <c r="D409" s="107"/>
      <c r="E409" s="107"/>
      <c r="F409" s="107"/>
      <c r="G409" s="107"/>
      <c r="H409" s="107"/>
      <c r="I409" s="107"/>
      <c r="J409" s="107"/>
      <c r="K409" s="107"/>
      <c r="L409" s="107"/>
      <c r="M409" s="107"/>
      <c r="N409" s="107"/>
      <c r="O409" s="107"/>
      <c r="P409" s="107"/>
      <c r="Q409" s="107"/>
      <c r="R409" s="107"/>
      <c r="S409" s="107"/>
      <c r="T409" s="107"/>
      <c r="U409" s="107"/>
      <c r="V409" s="107"/>
      <c r="W409" s="107"/>
    </row>
    <row r="410" spans="1:23" s="33" customFormat="1" ht="50.1" customHeight="1">
      <c r="C410" s="108" t="s">
        <v>136</v>
      </c>
      <c r="D410" s="108"/>
      <c r="E410" s="108"/>
      <c r="F410" s="108"/>
      <c r="G410" s="108"/>
      <c r="H410" s="108"/>
      <c r="I410" s="108"/>
      <c r="J410" s="108"/>
      <c r="K410" s="108"/>
      <c r="L410" s="108"/>
      <c r="M410" s="108"/>
      <c r="N410" s="108"/>
      <c r="O410" s="108"/>
      <c r="P410" s="108"/>
      <c r="Q410" s="108"/>
      <c r="R410" s="108"/>
      <c r="S410" s="108"/>
      <c r="T410" s="108"/>
      <c r="U410" s="108"/>
      <c r="V410" s="108"/>
      <c r="W410" s="108"/>
    </row>
    <row r="411" spans="1:23" s="35" customFormat="1" ht="50.1" customHeight="1">
      <c r="C411" s="104" t="s">
        <v>45</v>
      </c>
      <c r="D411" s="36" t="s">
        <v>96</v>
      </c>
      <c r="E411" s="36" t="s">
        <v>97</v>
      </c>
      <c r="F411" s="36" t="s">
        <v>98</v>
      </c>
      <c r="G411" s="36" t="s">
        <v>99</v>
      </c>
      <c r="H411" s="36" t="s">
        <v>100</v>
      </c>
      <c r="I411" s="36" t="s">
        <v>101</v>
      </c>
      <c r="J411" s="36" t="s">
        <v>102</v>
      </c>
      <c r="K411" s="36" t="s">
        <v>17</v>
      </c>
      <c r="L411" s="36" t="s">
        <v>103</v>
      </c>
      <c r="M411" s="36" t="s">
        <v>104</v>
      </c>
      <c r="N411" s="36" t="s">
        <v>105</v>
      </c>
      <c r="O411" s="36" t="s">
        <v>106</v>
      </c>
      <c r="P411" s="36" t="s">
        <v>107</v>
      </c>
      <c r="Q411" s="36" t="s">
        <v>108</v>
      </c>
      <c r="R411" s="36" t="s">
        <v>109</v>
      </c>
      <c r="S411" s="36" t="s">
        <v>110</v>
      </c>
      <c r="T411" s="36" t="s">
        <v>111</v>
      </c>
      <c r="U411" s="36" t="s">
        <v>112</v>
      </c>
      <c r="V411" s="36" t="s">
        <v>113</v>
      </c>
      <c r="W411" s="36" t="s">
        <v>114</v>
      </c>
    </row>
    <row r="412" spans="1:23" s="33" customFormat="1" ht="32.1" customHeight="1">
      <c r="C412" s="104"/>
      <c r="D412" s="37">
        <v>1</v>
      </c>
      <c r="E412" s="37">
        <v>2</v>
      </c>
      <c r="F412" s="37">
        <v>3</v>
      </c>
      <c r="G412" s="37">
        <v>4</v>
      </c>
      <c r="H412" s="37">
        <v>5</v>
      </c>
      <c r="I412" s="37">
        <v>6</v>
      </c>
      <c r="J412" s="37">
        <v>7</v>
      </c>
      <c r="K412" s="37">
        <v>8</v>
      </c>
      <c r="L412" s="37">
        <v>9</v>
      </c>
      <c r="M412" s="37">
        <v>10</v>
      </c>
      <c r="N412" s="37">
        <v>11</v>
      </c>
      <c r="O412" s="37">
        <v>12</v>
      </c>
      <c r="P412" s="37">
        <v>13</v>
      </c>
      <c r="Q412" s="37">
        <v>14</v>
      </c>
      <c r="R412" s="37">
        <v>15</v>
      </c>
      <c r="S412" s="37">
        <v>16</v>
      </c>
      <c r="T412" s="37">
        <v>17</v>
      </c>
      <c r="U412" s="37">
        <v>18</v>
      </c>
      <c r="V412" s="37">
        <v>19</v>
      </c>
      <c r="W412" s="38">
        <v>20</v>
      </c>
    </row>
    <row r="413" spans="1:23" s="33" customFormat="1" ht="20.100000000000001" customHeight="1">
      <c r="C413" s="39" t="s">
        <v>45</v>
      </c>
      <c r="D413" s="39" t="s">
        <v>96</v>
      </c>
      <c r="E413" s="39" t="s">
        <v>97</v>
      </c>
      <c r="F413" s="39" t="s">
        <v>98</v>
      </c>
      <c r="G413" s="39" t="s">
        <v>99</v>
      </c>
      <c r="H413" s="39" t="s">
        <v>100</v>
      </c>
      <c r="I413" s="39" t="s">
        <v>115</v>
      </c>
      <c r="J413" s="39" t="s">
        <v>102</v>
      </c>
      <c r="K413" s="39" t="s">
        <v>17</v>
      </c>
      <c r="L413" s="39" t="s">
        <v>116</v>
      </c>
      <c r="M413" s="39" t="s">
        <v>104</v>
      </c>
      <c r="N413" s="39" t="s">
        <v>117</v>
      </c>
      <c r="O413" s="39" t="s">
        <v>118</v>
      </c>
      <c r="P413" s="39" t="s">
        <v>119</v>
      </c>
      <c r="Q413" s="40" t="s">
        <v>120</v>
      </c>
      <c r="R413" s="39" t="s">
        <v>109</v>
      </c>
      <c r="S413" s="39" t="s">
        <v>110</v>
      </c>
      <c r="T413" s="40" t="s">
        <v>121</v>
      </c>
      <c r="U413" s="40" t="s">
        <v>14</v>
      </c>
      <c r="V413" s="39" t="s">
        <v>113</v>
      </c>
      <c r="W413" s="39" t="s">
        <v>122</v>
      </c>
    </row>
    <row r="414" spans="1:23" ht="32.1" customHeight="1">
      <c r="B414" s="32">
        <f>B407+1</f>
        <v>12</v>
      </c>
      <c r="C414" s="65">
        <f>IF(ج_ح_اسفند25[[#This Row],[نام]]&lt;&gt;"",ROW()-414+1,"")</f>
        <v>1</v>
      </c>
      <c r="D414" s="43" t="s">
        <v>126</v>
      </c>
      <c r="E414" s="43" t="s">
        <v>126</v>
      </c>
      <c r="F414" s="44">
        <v>29</v>
      </c>
      <c r="G414" s="45">
        <v>1000000</v>
      </c>
      <c r="H414" s="66">
        <f>IF(ج_ح_اسفند25[[#This Row],[کارکرد]]*ج_ح_اسفند25[[#This Row],[دستمزد روزانه ]]=0,"",ج_ح_اسفند25[[#This Row],[کارکرد]]*ج_ح_اسفند25[[#This Row],[دستمزد روزانه ]])</f>
        <v>29000000</v>
      </c>
      <c r="I414" s="47">
        <v>7.33</v>
      </c>
      <c r="J414" s="67">
        <f>(ج_ح_اسفند25[[#This Row],[دستمزد روزانه ]]/7.33)*1.4*ج_ح_اسفند25[[#This Row],[مدت اضافه کاری ]]</f>
        <v>1400000</v>
      </c>
      <c r="K414" s="66">
        <f>IF(ج_ح_اسفند25[[#This Row],[کارکرد]]="","",ج_ح_اسفند25[[#This Row],[کارکرد]]*حق_مسکن/30)</f>
        <v>0</v>
      </c>
      <c r="L414" s="68">
        <v>1</v>
      </c>
      <c r="M414" s="66">
        <f>IF(ج_ح_اسفند25[[#This Row],[تعداد فرزندان]]="","",ج_ح_اسفند25[[#This Row],[کارکرد]]/29*3*ج_ح_اسفند25[[#This Row],[تعداد فرزندان]]*حداقل_حقوق_پایه_روزانه)</f>
        <v>0</v>
      </c>
      <c r="N414" s="66">
        <f>IF(ج_ح_اسفند25[[#This Row],[کارکرد]]="","",ج_ح_اسفند25[[#This Row],[کارکرد]]*حق_خواربار/30)</f>
        <v>0</v>
      </c>
      <c r="O414" s="66">
        <f>IFERROR(ج_ح_اسفند25[[#This Row],[حقوق پایه]]+ج_ح_اسفند25[[#This Row],[اضافه کاری]]+ج_ح_اسفند25[[#This Row],[حق مسکن]]+ج_ح_اسفند25[[#This Row],[حق اولاد]]+ج_ح_اسفند25[[#This Row],[حق و خواروبار]],"")</f>
        <v>30400000</v>
      </c>
      <c r="P414"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14" s="66" t="str">
        <f>IFERROR(ج_ح_اسفند25[[#This Row],[حقوق پایه]]+ج_ح_اسفند25[[#This Row],[اضافه کاری]]-(2/7)*ج_ح_اسفند25[[#This Row],[بیمه پرداختنی]],"")</f>
        <v/>
      </c>
      <c r="R414" s="69"/>
      <c r="S414" s="69"/>
      <c r="T414" s="66" t="str">
        <f>IFERROR(ج_ح_اسفند25[[#This Row],[جمع ح و م م بیمه ]]*7%,"")</f>
        <v/>
      </c>
      <c r="U414" s="5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14" s="66" t="str">
        <f>IFERROR(ج_ح_اسفند25[[#This Row],[وام]]+ج_ح_اسفند25[[#This Row],[مساعده]]+ج_ح_اسفند25[[#This Row],[بیمه پرداختنی]]+ج_ح_اسفند25[[#This Row],[مالیات پرداختنی]],"")</f>
        <v/>
      </c>
      <c r="W414" s="66" t="str">
        <f>IFERROR(ج_ح_اسفند25[[#This Row],[جمع ح و م]]-ج_ح_اسفند25[[#This Row],[جمع کسورات]],"")</f>
        <v/>
      </c>
    </row>
    <row r="415" spans="1:23" ht="32.1" customHeight="1">
      <c r="B415" s="32">
        <f>B414</f>
        <v>12</v>
      </c>
      <c r="C415" s="65" t="str">
        <f>IF(ج_ح_اسفند25[[#This Row],[نام]]&lt;&gt;"",ROW()-414+1,"")</f>
        <v/>
      </c>
      <c r="D415" s="43"/>
      <c r="E415" s="43"/>
      <c r="F415" s="44"/>
      <c r="G415" s="45"/>
      <c r="H415" s="66" t="str">
        <f>IF(ج_ح_اسفند25[[#This Row],[کارکرد]]*ج_ح_اسفند25[[#This Row],[دستمزد روزانه ]]=0,"",ج_ح_اسفند25[[#This Row],[کارکرد]]*ج_ح_اسفند25[[#This Row],[دستمزد روزانه ]])</f>
        <v/>
      </c>
      <c r="I415" s="47"/>
      <c r="J415" s="67">
        <f>(ج_ح_اسفند25[[#This Row],[دستمزد روزانه ]]/7.33)*1.4*ج_ح_اسفند25[[#This Row],[مدت اضافه کاری ]]</f>
        <v>0</v>
      </c>
      <c r="K415" s="66" t="str">
        <f>IF(ج_ح_اسفند25[[#This Row],[کارکرد]]="","",ج_ح_اسفند25[[#This Row],[کارکرد]]*حق_مسکن/30)</f>
        <v/>
      </c>
      <c r="L415" s="68"/>
      <c r="M415" s="66" t="str">
        <f>IF(ج_ح_اسفند25[[#This Row],[تعداد فرزندان]]="","",ج_ح_اسفند25[[#This Row],[کارکرد]]/29*3*ج_ح_اسفند25[[#This Row],[تعداد فرزندان]]*حداقل_حقوق_پایه_روزانه)</f>
        <v/>
      </c>
      <c r="N415" s="66" t="str">
        <f>IF(ج_ح_اسفند25[[#This Row],[کارکرد]]="","",ج_ح_اسفند25[[#This Row],[کارکرد]]*حق_خواربار/30)</f>
        <v/>
      </c>
      <c r="O415" s="66" t="str">
        <f>IFERROR(ج_ح_اسفند25[[#This Row],[حقوق پایه]]+ج_ح_اسفند25[[#This Row],[اضافه کاری]]+ج_ح_اسفند25[[#This Row],[حق مسکن]]+ج_ح_اسفند25[[#This Row],[حق اولاد]]+ج_ح_اسفند25[[#This Row],[حق و خواروبار]],"")</f>
        <v/>
      </c>
      <c r="P415"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15" s="66" t="str">
        <f>IFERROR(ج_ح_اسفند25[[#This Row],[حقوق پایه]]+ج_ح_اسفند25[[#This Row],[اضافه کاری]]-(2/7)*ج_ح_اسفند25[[#This Row],[بیمه پرداختنی]],"")</f>
        <v/>
      </c>
      <c r="R415" s="69"/>
      <c r="S415" s="69"/>
      <c r="T415" s="66" t="str">
        <f>IFERROR(ج_ح_اسفند25[[#This Row],[جمع ح و م م بیمه ]]*7%,"")</f>
        <v/>
      </c>
      <c r="U415"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15" s="66" t="str">
        <f>IFERROR(ج_ح_اسفند25[[#This Row],[وام]]+ج_ح_اسفند25[[#This Row],[مساعده]]+ج_ح_اسفند25[[#This Row],[بیمه پرداختنی]]+ج_ح_اسفند25[[#This Row],[مالیات پرداختنی]],"")</f>
        <v/>
      </c>
      <c r="W415" s="66" t="str">
        <f>IFERROR(ج_ح_اسفند25[[#This Row],[جمع ح و م]]-ج_ح_اسفند25[[#This Row],[جمع کسورات]],"")</f>
        <v/>
      </c>
    </row>
    <row r="416" spans="1:23" ht="32.1" customHeight="1">
      <c r="B416" s="32">
        <f t="shared" ref="B416:B444" si="10">B415</f>
        <v>12</v>
      </c>
      <c r="C416" s="65" t="str">
        <f>IF(ج_ح_اسفند25[[#This Row],[نام]]&lt;&gt;"",ROW()-414+1,"")</f>
        <v/>
      </c>
      <c r="D416" s="43"/>
      <c r="E416" s="43"/>
      <c r="F416" s="44"/>
      <c r="G416" s="45"/>
      <c r="H416" s="66" t="str">
        <f>IF(ج_ح_اسفند25[[#This Row],[کارکرد]]*ج_ح_اسفند25[[#This Row],[دستمزد روزانه ]]=0,"",ج_ح_اسفند25[[#This Row],[کارکرد]]*ج_ح_اسفند25[[#This Row],[دستمزد روزانه ]])</f>
        <v/>
      </c>
      <c r="I416" s="47"/>
      <c r="J416" s="67">
        <f>(ج_ح_اسفند25[[#This Row],[دستمزد روزانه ]]/7.33)*1.4*ج_ح_اسفند25[[#This Row],[مدت اضافه کاری ]]</f>
        <v>0</v>
      </c>
      <c r="K416" s="66" t="str">
        <f>IF(ج_ح_اسفند25[[#This Row],[کارکرد]]="","",ج_ح_اسفند25[[#This Row],[کارکرد]]*حق_مسکن/30)</f>
        <v/>
      </c>
      <c r="L416" s="68"/>
      <c r="M416" s="66" t="str">
        <f>IF(ج_ح_اسفند25[[#This Row],[تعداد فرزندان]]="","",ج_ح_اسفند25[[#This Row],[کارکرد]]/29*3*ج_ح_اسفند25[[#This Row],[تعداد فرزندان]]*حداقل_حقوق_پایه_روزانه)</f>
        <v/>
      </c>
      <c r="N416" s="66" t="str">
        <f>IF(ج_ح_اسفند25[[#This Row],[کارکرد]]="","",ج_ح_اسفند25[[#This Row],[کارکرد]]*حق_خواربار/30)</f>
        <v/>
      </c>
      <c r="O416" s="66" t="str">
        <f>IFERROR(ج_ح_اسفند25[[#This Row],[حقوق پایه]]+ج_ح_اسفند25[[#This Row],[اضافه کاری]]+ج_ح_اسفند25[[#This Row],[حق مسکن]]+ج_ح_اسفند25[[#This Row],[حق اولاد]]+ج_ح_اسفند25[[#This Row],[حق و خواروبار]],"")</f>
        <v/>
      </c>
      <c r="P416"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16" s="66" t="str">
        <f>IFERROR(ج_ح_اسفند25[[#This Row],[حقوق پایه]]+ج_ح_اسفند25[[#This Row],[اضافه کاری]]-(2/7)*ج_ح_اسفند25[[#This Row],[بیمه پرداختنی]],"")</f>
        <v/>
      </c>
      <c r="R416" s="69"/>
      <c r="S416" s="69"/>
      <c r="T416" s="66" t="str">
        <f>IFERROR(ج_ح_اسفند25[[#This Row],[جمع ح و م م بیمه ]]*7%,"")</f>
        <v/>
      </c>
      <c r="U416"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16" s="66" t="str">
        <f>IFERROR(ج_ح_اسفند25[[#This Row],[وام]]+ج_ح_اسفند25[[#This Row],[مساعده]]+ج_ح_اسفند25[[#This Row],[بیمه پرداختنی]]+ج_ح_اسفند25[[#This Row],[مالیات پرداختنی]],"")</f>
        <v/>
      </c>
      <c r="W416" s="66" t="str">
        <f>IFERROR(ج_ح_اسفند25[[#This Row],[جمع ح و م]]-ج_ح_اسفند25[[#This Row],[جمع کسورات]],"")</f>
        <v/>
      </c>
    </row>
    <row r="417" spans="2:23" ht="32.1" customHeight="1">
      <c r="B417" s="32">
        <f t="shared" si="10"/>
        <v>12</v>
      </c>
      <c r="C417" s="65" t="str">
        <f>IF(ج_ح_اسفند25[[#This Row],[نام]]&lt;&gt;"",ROW()-414+1,"")</f>
        <v/>
      </c>
      <c r="D417" s="43"/>
      <c r="E417" s="43"/>
      <c r="F417" s="44"/>
      <c r="G417" s="45"/>
      <c r="H417" s="66" t="str">
        <f>IF(ج_ح_اسفند25[[#This Row],[کارکرد]]*ج_ح_اسفند25[[#This Row],[دستمزد روزانه ]]=0,"",ج_ح_اسفند25[[#This Row],[کارکرد]]*ج_ح_اسفند25[[#This Row],[دستمزد روزانه ]])</f>
        <v/>
      </c>
      <c r="I417" s="47"/>
      <c r="J417" s="67">
        <f>(ج_ح_اسفند25[[#This Row],[دستمزد روزانه ]]/7.33)*1.4*ج_ح_اسفند25[[#This Row],[مدت اضافه کاری ]]</f>
        <v>0</v>
      </c>
      <c r="K417" s="66" t="str">
        <f>IF(ج_ح_اسفند25[[#This Row],[کارکرد]]="","",ج_ح_اسفند25[[#This Row],[کارکرد]]*حق_مسکن/30)</f>
        <v/>
      </c>
      <c r="L417" s="68"/>
      <c r="M417" s="66" t="str">
        <f>IF(ج_ح_اسفند25[[#This Row],[تعداد فرزندان]]="","",ج_ح_اسفند25[[#This Row],[کارکرد]]/29*3*ج_ح_اسفند25[[#This Row],[تعداد فرزندان]]*حداقل_حقوق_پایه_روزانه)</f>
        <v/>
      </c>
      <c r="N417" s="66" t="str">
        <f>IF(ج_ح_اسفند25[[#This Row],[کارکرد]]="","",ج_ح_اسفند25[[#This Row],[کارکرد]]*حق_خواربار/30)</f>
        <v/>
      </c>
      <c r="O417" s="66" t="str">
        <f>IFERROR(ج_ح_اسفند25[[#This Row],[حقوق پایه]]+ج_ح_اسفند25[[#This Row],[اضافه کاری]]+ج_ح_اسفند25[[#This Row],[حق مسکن]]+ج_ح_اسفند25[[#This Row],[حق اولاد]]+ج_ح_اسفند25[[#This Row],[حق و خواروبار]],"")</f>
        <v/>
      </c>
      <c r="P417"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17" s="66" t="str">
        <f>IFERROR(ج_ح_اسفند25[[#This Row],[حقوق پایه]]+ج_ح_اسفند25[[#This Row],[اضافه کاری]]-(2/7)*ج_ح_اسفند25[[#This Row],[بیمه پرداختنی]],"")</f>
        <v/>
      </c>
      <c r="R417" s="69"/>
      <c r="S417" s="69"/>
      <c r="T417" s="66" t="str">
        <f>IFERROR(ج_ح_اسفند25[[#This Row],[جمع ح و م م بیمه ]]*7%,"")</f>
        <v/>
      </c>
      <c r="U417"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17" s="66" t="str">
        <f>IFERROR(ج_ح_اسفند25[[#This Row],[وام]]+ج_ح_اسفند25[[#This Row],[مساعده]]+ج_ح_اسفند25[[#This Row],[بیمه پرداختنی]]+ج_ح_اسفند25[[#This Row],[مالیات پرداختنی]],"")</f>
        <v/>
      </c>
      <c r="W417" s="66" t="str">
        <f>IFERROR(ج_ح_اسفند25[[#This Row],[جمع ح و م]]-ج_ح_اسفند25[[#This Row],[جمع کسورات]],"")</f>
        <v/>
      </c>
    </row>
    <row r="418" spans="2:23" ht="32.1" customHeight="1">
      <c r="B418" s="32">
        <f t="shared" si="10"/>
        <v>12</v>
      </c>
      <c r="C418" s="65" t="str">
        <f>IF(ج_ح_اسفند25[[#This Row],[نام]]&lt;&gt;"",ROW()-414+1,"")</f>
        <v/>
      </c>
      <c r="D418" s="43"/>
      <c r="E418" s="43"/>
      <c r="F418" s="44"/>
      <c r="G418" s="45"/>
      <c r="H418" s="66" t="str">
        <f>IF(ج_ح_اسفند25[[#This Row],[کارکرد]]*ج_ح_اسفند25[[#This Row],[دستمزد روزانه ]]=0,"",ج_ح_اسفند25[[#This Row],[کارکرد]]*ج_ح_اسفند25[[#This Row],[دستمزد روزانه ]])</f>
        <v/>
      </c>
      <c r="I418" s="47"/>
      <c r="J418" s="67">
        <f>(ج_ح_اسفند25[[#This Row],[دستمزد روزانه ]]/7.33)*1.4*ج_ح_اسفند25[[#This Row],[مدت اضافه کاری ]]</f>
        <v>0</v>
      </c>
      <c r="K418" s="66" t="str">
        <f>IF(ج_ح_اسفند25[[#This Row],[کارکرد]]="","",ج_ح_اسفند25[[#This Row],[کارکرد]]*حق_مسکن/30)</f>
        <v/>
      </c>
      <c r="L418" s="68"/>
      <c r="M418" s="66" t="str">
        <f>IF(ج_ح_اسفند25[[#This Row],[تعداد فرزندان]]="","",ج_ح_اسفند25[[#This Row],[کارکرد]]/29*3*ج_ح_اسفند25[[#This Row],[تعداد فرزندان]]*حداقل_حقوق_پایه_روزانه)</f>
        <v/>
      </c>
      <c r="N418" s="66" t="str">
        <f>IF(ج_ح_اسفند25[[#This Row],[کارکرد]]="","",ج_ح_اسفند25[[#This Row],[کارکرد]]*حق_خواربار/30)</f>
        <v/>
      </c>
      <c r="O418" s="66" t="str">
        <f>IFERROR(ج_ح_اسفند25[[#This Row],[حقوق پایه]]+ج_ح_اسفند25[[#This Row],[اضافه کاری]]+ج_ح_اسفند25[[#This Row],[حق مسکن]]+ج_ح_اسفند25[[#This Row],[حق اولاد]]+ج_ح_اسفند25[[#This Row],[حق و خواروبار]],"")</f>
        <v/>
      </c>
      <c r="P418"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18" s="66" t="str">
        <f>IFERROR(ج_ح_اسفند25[[#This Row],[حقوق پایه]]+ج_ح_اسفند25[[#This Row],[اضافه کاری]]-(2/7)*ج_ح_اسفند25[[#This Row],[بیمه پرداختنی]],"")</f>
        <v/>
      </c>
      <c r="R418" s="69"/>
      <c r="S418" s="69"/>
      <c r="T418" s="66" t="str">
        <f>IFERROR(ج_ح_اسفند25[[#This Row],[جمع ح و م م بیمه ]]*7%,"")</f>
        <v/>
      </c>
      <c r="U418"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18" s="66" t="str">
        <f>IFERROR(ج_ح_اسفند25[[#This Row],[وام]]+ج_ح_اسفند25[[#This Row],[مساعده]]+ج_ح_اسفند25[[#This Row],[بیمه پرداختنی]]+ج_ح_اسفند25[[#This Row],[مالیات پرداختنی]],"")</f>
        <v/>
      </c>
      <c r="W418" s="66" t="str">
        <f>IFERROR(ج_ح_اسفند25[[#This Row],[جمع ح و م]]-ج_ح_اسفند25[[#This Row],[جمع کسورات]],"")</f>
        <v/>
      </c>
    </row>
    <row r="419" spans="2:23" ht="32.1" customHeight="1">
      <c r="B419" s="32">
        <f t="shared" si="10"/>
        <v>12</v>
      </c>
      <c r="C419" s="65" t="str">
        <f>IF(ج_ح_اسفند25[[#This Row],[نام]]&lt;&gt;"",ROW()-414+1,"")</f>
        <v/>
      </c>
      <c r="D419" s="43"/>
      <c r="E419" s="43"/>
      <c r="F419" s="44"/>
      <c r="G419" s="45"/>
      <c r="H419" s="66" t="str">
        <f>IF(ج_ح_اسفند25[[#This Row],[کارکرد]]*ج_ح_اسفند25[[#This Row],[دستمزد روزانه ]]=0,"",ج_ح_اسفند25[[#This Row],[کارکرد]]*ج_ح_اسفند25[[#This Row],[دستمزد روزانه ]])</f>
        <v/>
      </c>
      <c r="I419" s="47"/>
      <c r="J419" s="67">
        <f>(ج_ح_اسفند25[[#This Row],[دستمزد روزانه ]]/7.33)*1.4*ج_ح_اسفند25[[#This Row],[مدت اضافه کاری ]]</f>
        <v>0</v>
      </c>
      <c r="K419" s="66" t="str">
        <f>IF(ج_ح_اسفند25[[#This Row],[کارکرد]]="","",ج_ح_اسفند25[[#This Row],[کارکرد]]*حق_مسکن/30)</f>
        <v/>
      </c>
      <c r="L419" s="68"/>
      <c r="M419" s="66" t="str">
        <f>IF(ج_ح_اسفند25[[#This Row],[تعداد فرزندان]]="","",ج_ح_اسفند25[[#This Row],[کارکرد]]/29*3*ج_ح_اسفند25[[#This Row],[تعداد فرزندان]]*حداقل_حقوق_پایه_روزانه)</f>
        <v/>
      </c>
      <c r="N419" s="66" t="str">
        <f>IF(ج_ح_اسفند25[[#This Row],[کارکرد]]="","",ج_ح_اسفند25[[#This Row],[کارکرد]]*حق_خواربار/30)</f>
        <v/>
      </c>
      <c r="O419" s="66" t="str">
        <f>IFERROR(ج_ح_اسفند25[[#This Row],[حقوق پایه]]+ج_ح_اسفند25[[#This Row],[اضافه کاری]]+ج_ح_اسفند25[[#This Row],[حق مسکن]]+ج_ح_اسفند25[[#This Row],[حق اولاد]]+ج_ح_اسفند25[[#This Row],[حق و خواروبار]],"")</f>
        <v/>
      </c>
      <c r="P419"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19" s="66" t="str">
        <f>IFERROR(ج_ح_اسفند25[[#This Row],[حقوق پایه]]+ج_ح_اسفند25[[#This Row],[اضافه کاری]]-(2/7)*ج_ح_اسفند25[[#This Row],[بیمه پرداختنی]],"")</f>
        <v/>
      </c>
      <c r="R419" s="69"/>
      <c r="S419" s="69"/>
      <c r="T419" s="66" t="str">
        <f>IFERROR(ج_ح_اسفند25[[#This Row],[جمع ح و م م بیمه ]]*7%,"")</f>
        <v/>
      </c>
      <c r="U419"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19" s="66" t="str">
        <f>IFERROR(ج_ح_اسفند25[[#This Row],[وام]]+ج_ح_اسفند25[[#This Row],[مساعده]]+ج_ح_اسفند25[[#This Row],[بیمه پرداختنی]]+ج_ح_اسفند25[[#This Row],[مالیات پرداختنی]],"")</f>
        <v/>
      </c>
      <c r="W419" s="66" t="str">
        <f>IFERROR(ج_ح_اسفند25[[#This Row],[جمع ح و م]]-ج_ح_اسفند25[[#This Row],[جمع کسورات]],"")</f>
        <v/>
      </c>
    </row>
    <row r="420" spans="2:23" ht="32.1" customHeight="1">
      <c r="B420" s="32">
        <f t="shared" si="10"/>
        <v>12</v>
      </c>
      <c r="C420" s="65" t="str">
        <f>IF(ج_ح_اسفند25[[#This Row],[نام]]&lt;&gt;"",ROW()-414+1,"")</f>
        <v/>
      </c>
      <c r="D420" s="43"/>
      <c r="E420" s="43"/>
      <c r="F420" s="44"/>
      <c r="G420" s="45"/>
      <c r="H420" s="66" t="str">
        <f>IF(ج_ح_اسفند25[[#This Row],[کارکرد]]*ج_ح_اسفند25[[#This Row],[دستمزد روزانه ]]=0,"",ج_ح_اسفند25[[#This Row],[کارکرد]]*ج_ح_اسفند25[[#This Row],[دستمزد روزانه ]])</f>
        <v/>
      </c>
      <c r="I420" s="47"/>
      <c r="J420" s="67">
        <f>(ج_ح_اسفند25[[#This Row],[دستمزد روزانه ]]/7.33)*1.4*ج_ح_اسفند25[[#This Row],[مدت اضافه کاری ]]</f>
        <v>0</v>
      </c>
      <c r="K420" s="66" t="str">
        <f>IF(ج_ح_اسفند25[[#This Row],[کارکرد]]="","",ج_ح_اسفند25[[#This Row],[کارکرد]]*حق_مسکن/30)</f>
        <v/>
      </c>
      <c r="L420" s="68"/>
      <c r="M420" s="66" t="str">
        <f>IF(ج_ح_اسفند25[[#This Row],[تعداد فرزندان]]="","",ج_ح_اسفند25[[#This Row],[کارکرد]]/29*3*ج_ح_اسفند25[[#This Row],[تعداد فرزندان]]*حداقل_حقوق_پایه_روزانه)</f>
        <v/>
      </c>
      <c r="N420" s="66" t="str">
        <f>IF(ج_ح_اسفند25[[#This Row],[کارکرد]]="","",ج_ح_اسفند25[[#This Row],[کارکرد]]*حق_خواربار/30)</f>
        <v/>
      </c>
      <c r="O420" s="66" t="str">
        <f>IFERROR(ج_ح_اسفند25[[#This Row],[حقوق پایه]]+ج_ح_اسفند25[[#This Row],[اضافه کاری]]+ج_ح_اسفند25[[#This Row],[حق مسکن]]+ج_ح_اسفند25[[#This Row],[حق اولاد]]+ج_ح_اسفند25[[#This Row],[حق و خواروبار]],"")</f>
        <v/>
      </c>
      <c r="P420"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20" s="66" t="str">
        <f>IFERROR(ج_ح_اسفند25[[#This Row],[حقوق پایه]]+ج_ح_اسفند25[[#This Row],[اضافه کاری]]-(2/7)*ج_ح_اسفند25[[#This Row],[بیمه پرداختنی]],"")</f>
        <v/>
      </c>
      <c r="R420" s="69"/>
      <c r="S420" s="69"/>
      <c r="T420" s="66" t="str">
        <f>IFERROR(ج_ح_اسفند25[[#This Row],[جمع ح و م م بیمه ]]*7%,"")</f>
        <v/>
      </c>
      <c r="U420"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20" s="66" t="str">
        <f>IFERROR(ج_ح_اسفند25[[#This Row],[وام]]+ج_ح_اسفند25[[#This Row],[مساعده]]+ج_ح_اسفند25[[#This Row],[بیمه پرداختنی]]+ج_ح_اسفند25[[#This Row],[مالیات پرداختنی]],"")</f>
        <v/>
      </c>
      <c r="W420" s="66" t="str">
        <f>IFERROR(ج_ح_اسفند25[[#This Row],[جمع ح و م]]-ج_ح_اسفند25[[#This Row],[جمع کسورات]],"")</f>
        <v/>
      </c>
    </row>
    <row r="421" spans="2:23" ht="32.1" customHeight="1">
      <c r="B421" s="32">
        <f t="shared" si="10"/>
        <v>12</v>
      </c>
      <c r="C421" s="65" t="str">
        <f>IF(ج_ح_اسفند25[[#This Row],[نام]]&lt;&gt;"",ROW()-414+1,"")</f>
        <v/>
      </c>
      <c r="D421" s="43"/>
      <c r="E421" s="43"/>
      <c r="F421" s="44"/>
      <c r="G421" s="45"/>
      <c r="H421" s="66" t="str">
        <f>IF(ج_ح_اسفند25[[#This Row],[کارکرد]]*ج_ح_اسفند25[[#This Row],[دستمزد روزانه ]]=0,"",ج_ح_اسفند25[[#This Row],[کارکرد]]*ج_ح_اسفند25[[#This Row],[دستمزد روزانه ]])</f>
        <v/>
      </c>
      <c r="I421" s="47"/>
      <c r="J421" s="67">
        <f>(ج_ح_اسفند25[[#This Row],[دستمزد روزانه ]]/7.33)*1.4*ج_ح_اسفند25[[#This Row],[مدت اضافه کاری ]]</f>
        <v>0</v>
      </c>
      <c r="K421" s="66" t="str">
        <f>IF(ج_ح_اسفند25[[#This Row],[کارکرد]]="","",ج_ح_اسفند25[[#This Row],[کارکرد]]*حق_مسکن/30)</f>
        <v/>
      </c>
      <c r="L421" s="68"/>
      <c r="M421" s="66" t="str">
        <f>IF(ج_ح_اسفند25[[#This Row],[تعداد فرزندان]]="","",ج_ح_اسفند25[[#This Row],[کارکرد]]/29*3*ج_ح_اسفند25[[#This Row],[تعداد فرزندان]]*حداقل_حقوق_پایه_روزانه)</f>
        <v/>
      </c>
      <c r="N421" s="66" t="str">
        <f>IF(ج_ح_اسفند25[[#This Row],[کارکرد]]="","",ج_ح_اسفند25[[#This Row],[کارکرد]]*حق_خواربار/30)</f>
        <v/>
      </c>
      <c r="O421" s="66" t="str">
        <f>IFERROR(ج_ح_اسفند25[[#This Row],[حقوق پایه]]+ج_ح_اسفند25[[#This Row],[اضافه کاری]]+ج_ح_اسفند25[[#This Row],[حق مسکن]]+ج_ح_اسفند25[[#This Row],[حق اولاد]]+ج_ح_اسفند25[[#This Row],[حق و خواروبار]],"")</f>
        <v/>
      </c>
      <c r="P421"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21" s="66" t="str">
        <f>IFERROR(ج_ح_اسفند25[[#This Row],[حقوق پایه]]+ج_ح_اسفند25[[#This Row],[اضافه کاری]]-(2/7)*ج_ح_اسفند25[[#This Row],[بیمه پرداختنی]],"")</f>
        <v/>
      </c>
      <c r="R421" s="69"/>
      <c r="S421" s="69"/>
      <c r="T421" s="66" t="str">
        <f>IFERROR(ج_ح_اسفند25[[#This Row],[جمع ح و م م بیمه ]]*7%,"")</f>
        <v/>
      </c>
      <c r="U421"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21" s="66" t="str">
        <f>IFERROR(ج_ح_اسفند25[[#This Row],[وام]]+ج_ح_اسفند25[[#This Row],[مساعده]]+ج_ح_اسفند25[[#This Row],[بیمه پرداختنی]]+ج_ح_اسفند25[[#This Row],[مالیات پرداختنی]],"")</f>
        <v/>
      </c>
      <c r="W421" s="66" t="str">
        <f>IFERROR(ج_ح_اسفند25[[#This Row],[جمع ح و م]]-ج_ح_اسفند25[[#This Row],[جمع کسورات]],"")</f>
        <v/>
      </c>
    </row>
    <row r="422" spans="2:23" ht="32.1" customHeight="1">
      <c r="B422" s="32">
        <f t="shared" si="10"/>
        <v>12</v>
      </c>
      <c r="C422" s="65" t="str">
        <f>IF(ج_ح_اسفند25[[#This Row],[نام]]&lt;&gt;"",ROW()-414+1,"")</f>
        <v/>
      </c>
      <c r="D422" s="43"/>
      <c r="E422" s="43"/>
      <c r="F422" s="44"/>
      <c r="G422" s="45"/>
      <c r="H422" s="66" t="str">
        <f>IF(ج_ح_اسفند25[[#This Row],[کارکرد]]*ج_ح_اسفند25[[#This Row],[دستمزد روزانه ]]=0,"",ج_ح_اسفند25[[#This Row],[کارکرد]]*ج_ح_اسفند25[[#This Row],[دستمزد روزانه ]])</f>
        <v/>
      </c>
      <c r="I422" s="47"/>
      <c r="J422" s="67">
        <f>(ج_ح_اسفند25[[#This Row],[دستمزد روزانه ]]/7.33)*1.4*ج_ح_اسفند25[[#This Row],[مدت اضافه کاری ]]</f>
        <v>0</v>
      </c>
      <c r="K422" s="66" t="str">
        <f>IF(ج_ح_اسفند25[[#This Row],[کارکرد]]="","",ج_ح_اسفند25[[#This Row],[کارکرد]]*حق_مسکن/30)</f>
        <v/>
      </c>
      <c r="L422" s="68"/>
      <c r="M422" s="66" t="str">
        <f>IF(ج_ح_اسفند25[[#This Row],[تعداد فرزندان]]="","",ج_ح_اسفند25[[#This Row],[کارکرد]]/29*3*ج_ح_اسفند25[[#This Row],[تعداد فرزندان]]*حداقل_حقوق_پایه_روزانه)</f>
        <v/>
      </c>
      <c r="N422" s="66" t="str">
        <f>IF(ج_ح_اسفند25[[#This Row],[کارکرد]]="","",ج_ح_اسفند25[[#This Row],[کارکرد]]*حق_خواربار/30)</f>
        <v/>
      </c>
      <c r="O422" s="66" t="str">
        <f>IFERROR(ج_ح_اسفند25[[#This Row],[حقوق پایه]]+ج_ح_اسفند25[[#This Row],[اضافه کاری]]+ج_ح_اسفند25[[#This Row],[حق مسکن]]+ج_ح_اسفند25[[#This Row],[حق اولاد]]+ج_ح_اسفند25[[#This Row],[حق و خواروبار]],"")</f>
        <v/>
      </c>
      <c r="P422"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22" s="66" t="str">
        <f>IFERROR(ج_ح_اسفند25[[#This Row],[حقوق پایه]]+ج_ح_اسفند25[[#This Row],[اضافه کاری]]-(2/7)*ج_ح_اسفند25[[#This Row],[بیمه پرداختنی]],"")</f>
        <v/>
      </c>
      <c r="R422" s="69"/>
      <c r="S422" s="69"/>
      <c r="T422" s="66" t="str">
        <f>IFERROR(ج_ح_اسفند25[[#This Row],[جمع ح و م م بیمه ]]*7%,"")</f>
        <v/>
      </c>
      <c r="U422"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22" s="66" t="str">
        <f>IFERROR(ج_ح_اسفند25[[#This Row],[وام]]+ج_ح_اسفند25[[#This Row],[مساعده]]+ج_ح_اسفند25[[#This Row],[بیمه پرداختنی]]+ج_ح_اسفند25[[#This Row],[مالیات پرداختنی]],"")</f>
        <v/>
      </c>
      <c r="W422" s="66" t="str">
        <f>IFERROR(ج_ح_اسفند25[[#This Row],[جمع ح و م]]-ج_ح_اسفند25[[#This Row],[جمع کسورات]],"")</f>
        <v/>
      </c>
    </row>
    <row r="423" spans="2:23" ht="32.1" customHeight="1">
      <c r="B423" s="32">
        <f t="shared" si="10"/>
        <v>12</v>
      </c>
      <c r="C423" s="65" t="str">
        <f>IF(ج_ح_اسفند25[[#This Row],[نام]]&lt;&gt;"",ROW()-414+1,"")</f>
        <v/>
      </c>
      <c r="D423" s="43"/>
      <c r="E423" s="43"/>
      <c r="F423" s="44"/>
      <c r="G423" s="45"/>
      <c r="H423" s="66" t="str">
        <f>IF(ج_ح_اسفند25[[#This Row],[کارکرد]]*ج_ح_اسفند25[[#This Row],[دستمزد روزانه ]]=0,"",ج_ح_اسفند25[[#This Row],[کارکرد]]*ج_ح_اسفند25[[#This Row],[دستمزد روزانه ]])</f>
        <v/>
      </c>
      <c r="I423" s="47"/>
      <c r="J423" s="67">
        <f>(ج_ح_اسفند25[[#This Row],[دستمزد روزانه ]]/7.33)*1.4*ج_ح_اسفند25[[#This Row],[مدت اضافه کاری ]]</f>
        <v>0</v>
      </c>
      <c r="K423" s="66" t="str">
        <f>IF(ج_ح_اسفند25[[#This Row],[کارکرد]]="","",ج_ح_اسفند25[[#This Row],[کارکرد]]*حق_مسکن/30)</f>
        <v/>
      </c>
      <c r="L423" s="68"/>
      <c r="M423" s="66" t="str">
        <f>IF(ج_ح_اسفند25[[#This Row],[تعداد فرزندان]]="","",ج_ح_اسفند25[[#This Row],[کارکرد]]/29*3*ج_ح_اسفند25[[#This Row],[تعداد فرزندان]]*حداقل_حقوق_پایه_روزانه)</f>
        <v/>
      </c>
      <c r="N423" s="66" t="str">
        <f>IF(ج_ح_اسفند25[[#This Row],[کارکرد]]="","",ج_ح_اسفند25[[#This Row],[کارکرد]]*حق_خواربار/30)</f>
        <v/>
      </c>
      <c r="O423" s="66" t="str">
        <f>IFERROR(ج_ح_اسفند25[[#This Row],[حقوق پایه]]+ج_ح_اسفند25[[#This Row],[اضافه کاری]]+ج_ح_اسفند25[[#This Row],[حق مسکن]]+ج_ح_اسفند25[[#This Row],[حق اولاد]]+ج_ح_اسفند25[[#This Row],[حق و خواروبار]],"")</f>
        <v/>
      </c>
      <c r="P423"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23" s="66" t="str">
        <f>IFERROR(ج_ح_اسفند25[[#This Row],[حقوق پایه]]+ج_ح_اسفند25[[#This Row],[اضافه کاری]]-(2/7)*ج_ح_اسفند25[[#This Row],[بیمه پرداختنی]],"")</f>
        <v/>
      </c>
      <c r="R423" s="69"/>
      <c r="S423" s="69"/>
      <c r="T423" s="66" t="str">
        <f>IFERROR(ج_ح_اسفند25[[#This Row],[جمع ح و م م بیمه ]]*7%,"")</f>
        <v/>
      </c>
      <c r="U423"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23" s="66" t="str">
        <f>IFERROR(ج_ح_اسفند25[[#This Row],[وام]]+ج_ح_اسفند25[[#This Row],[مساعده]]+ج_ح_اسفند25[[#This Row],[بیمه پرداختنی]]+ج_ح_اسفند25[[#This Row],[مالیات پرداختنی]],"")</f>
        <v/>
      </c>
      <c r="W423" s="66" t="str">
        <f>IFERROR(ج_ح_اسفند25[[#This Row],[جمع ح و م]]-ج_ح_اسفند25[[#This Row],[جمع کسورات]],"")</f>
        <v/>
      </c>
    </row>
    <row r="424" spans="2:23" ht="32.1" customHeight="1">
      <c r="B424" s="32">
        <f t="shared" si="10"/>
        <v>12</v>
      </c>
      <c r="C424" s="65" t="str">
        <f>IF(ج_ح_اسفند25[[#This Row],[نام]]&lt;&gt;"",ROW()-414+1,"")</f>
        <v/>
      </c>
      <c r="D424" s="43"/>
      <c r="E424" s="43"/>
      <c r="F424" s="44"/>
      <c r="G424" s="45"/>
      <c r="H424" s="66" t="str">
        <f>IF(ج_ح_اسفند25[[#This Row],[کارکرد]]*ج_ح_اسفند25[[#This Row],[دستمزد روزانه ]]=0,"",ج_ح_اسفند25[[#This Row],[کارکرد]]*ج_ح_اسفند25[[#This Row],[دستمزد روزانه ]])</f>
        <v/>
      </c>
      <c r="I424" s="47"/>
      <c r="J424" s="67">
        <f>(ج_ح_اسفند25[[#This Row],[دستمزد روزانه ]]/7.33)*1.4*ج_ح_اسفند25[[#This Row],[مدت اضافه کاری ]]</f>
        <v>0</v>
      </c>
      <c r="K424" s="66" t="str">
        <f>IF(ج_ح_اسفند25[[#This Row],[کارکرد]]="","",ج_ح_اسفند25[[#This Row],[کارکرد]]*حق_مسکن/30)</f>
        <v/>
      </c>
      <c r="L424" s="68"/>
      <c r="M424" s="66" t="str">
        <f>IF(ج_ح_اسفند25[[#This Row],[تعداد فرزندان]]="","",ج_ح_اسفند25[[#This Row],[کارکرد]]/29*3*ج_ح_اسفند25[[#This Row],[تعداد فرزندان]]*حداقل_حقوق_پایه_روزانه)</f>
        <v/>
      </c>
      <c r="N424" s="66" t="str">
        <f>IF(ج_ح_اسفند25[[#This Row],[کارکرد]]="","",ج_ح_اسفند25[[#This Row],[کارکرد]]*حق_خواربار/30)</f>
        <v/>
      </c>
      <c r="O424" s="66" t="str">
        <f>IFERROR(ج_ح_اسفند25[[#This Row],[حقوق پایه]]+ج_ح_اسفند25[[#This Row],[اضافه کاری]]+ج_ح_اسفند25[[#This Row],[حق مسکن]]+ج_ح_اسفند25[[#This Row],[حق اولاد]]+ج_ح_اسفند25[[#This Row],[حق و خواروبار]],"")</f>
        <v/>
      </c>
      <c r="P424"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24" s="66" t="str">
        <f>IFERROR(ج_ح_اسفند25[[#This Row],[حقوق پایه]]+ج_ح_اسفند25[[#This Row],[اضافه کاری]]-(2/7)*ج_ح_اسفند25[[#This Row],[بیمه پرداختنی]],"")</f>
        <v/>
      </c>
      <c r="R424" s="69"/>
      <c r="S424" s="69"/>
      <c r="T424" s="66" t="str">
        <f>IFERROR(ج_ح_اسفند25[[#This Row],[جمع ح و م م بیمه ]]*7%,"")</f>
        <v/>
      </c>
      <c r="U424"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24" s="66" t="str">
        <f>IFERROR(ج_ح_اسفند25[[#This Row],[وام]]+ج_ح_اسفند25[[#This Row],[مساعده]]+ج_ح_اسفند25[[#This Row],[بیمه پرداختنی]]+ج_ح_اسفند25[[#This Row],[مالیات پرداختنی]],"")</f>
        <v/>
      </c>
      <c r="W424" s="66" t="str">
        <f>IFERROR(ج_ح_اسفند25[[#This Row],[جمع ح و م]]-ج_ح_اسفند25[[#This Row],[جمع کسورات]],"")</f>
        <v/>
      </c>
    </row>
    <row r="425" spans="2:23" ht="32.1" customHeight="1">
      <c r="B425" s="32">
        <f t="shared" si="10"/>
        <v>12</v>
      </c>
      <c r="C425" s="65" t="str">
        <f>IF(ج_ح_اسفند25[[#This Row],[نام]]&lt;&gt;"",ROW()-414+1,"")</f>
        <v/>
      </c>
      <c r="D425" s="43"/>
      <c r="E425" s="43"/>
      <c r="F425" s="44"/>
      <c r="G425" s="45"/>
      <c r="H425" s="66" t="str">
        <f>IF(ج_ح_اسفند25[[#This Row],[کارکرد]]*ج_ح_اسفند25[[#This Row],[دستمزد روزانه ]]=0,"",ج_ح_اسفند25[[#This Row],[کارکرد]]*ج_ح_اسفند25[[#This Row],[دستمزد روزانه ]])</f>
        <v/>
      </c>
      <c r="I425" s="47"/>
      <c r="J425" s="67">
        <f>(ج_ح_اسفند25[[#This Row],[دستمزد روزانه ]]/7.33)*1.4*ج_ح_اسفند25[[#This Row],[مدت اضافه کاری ]]</f>
        <v>0</v>
      </c>
      <c r="K425" s="66" t="str">
        <f>IF(ج_ح_اسفند25[[#This Row],[کارکرد]]="","",ج_ح_اسفند25[[#This Row],[کارکرد]]*حق_مسکن/30)</f>
        <v/>
      </c>
      <c r="L425" s="68"/>
      <c r="M425" s="66" t="str">
        <f>IF(ج_ح_اسفند25[[#This Row],[تعداد فرزندان]]="","",ج_ح_اسفند25[[#This Row],[کارکرد]]/29*3*ج_ح_اسفند25[[#This Row],[تعداد فرزندان]]*حداقل_حقوق_پایه_روزانه)</f>
        <v/>
      </c>
      <c r="N425" s="66" t="str">
        <f>IF(ج_ح_اسفند25[[#This Row],[کارکرد]]="","",ج_ح_اسفند25[[#This Row],[کارکرد]]*حق_خواربار/30)</f>
        <v/>
      </c>
      <c r="O425" s="66" t="str">
        <f>IFERROR(ج_ح_اسفند25[[#This Row],[حقوق پایه]]+ج_ح_اسفند25[[#This Row],[اضافه کاری]]+ج_ح_اسفند25[[#This Row],[حق مسکن]]+ج_ح_اسفند25[[#This Row],[حق اولاد]]+ج_ح_اسفند25[[#This Row],[حق و خواروبار]],"")</f>
        <v/>
      </c>
      <c r="P425"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25" s="66" t="str">
        <f>IFERROR(ج_ح_اسفند25[[#This Row],[حقوق پایه]]+ج_ح_اسفند25[[#This Row],[اضافه کاری]]-(2/7)*ج_ح_اسفند25[[#This Row],[بیمه پرداختنی]],"")</f>
        <v/>
      </c>
      <c r="R425" s="69"/>
      <c r="S425" s="69"/>
      <c r="T425" s="66" t="str">
        <f>IFERROR(ج_ح_اسفند25[[#This Row],[جمع ح و م م بیمه ]]*7%,"")</f>
        <v/>
      </c>
      <c r="U425"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25" s="66" t="str">
        <f>IFERROR(ج_ح_اسفند25[[#This Row],[وام]]+ج_ح_اسفند25[[#This Row],[مساعده]]+ج_ح_اسفند25[[#This Row],[بیمه پرداختنی]]+ج_ح_اسفند25[[#This Row],[مالیات پرداختنی]],"")</f>
        <v/>
      </c>
      <c r="W425" s="66" t="str">
        <f>IFERROR(ج_ح_اسفند25[[#This Row],[جمع ح و م]]-ج_ح_اسفند25[[#This Row],[جمع کسورات]],"")</f>
        <v/>
      </c>
    </row>
    <row r="426" spans="2:23" ht="32.1" customHeight="1">
      <c r="B426" s="32">
        <f t="shared" si="10"/>
        <v>12</v>
      </c>
      <c r="C426" s="65" t="str">
        <f>IF(ج_ح_اسفند25[[#This Row],[نام]]&lt;&gt;"",ROW()-414+1,"")</f>
        <v/>
      </c>
      <c r="D426" s="43"/>
      <c r="E426" s="43"/>
      <c r="F426" s="44"/>
      <c r="G426" s="45"/>
      <c r="H426" s="66" t="str">
        <f>IF(ج_ح_اسفند25[[#This Row],[کارکرد]]*ج_ح_اسفند25[[#This Row],[دستمزد روزانه ]]=0,"",ج_ح_اسفند25[[#This Row],[کارکرد]]*ج_ح_اسفند25[[#This Row],[دستمزد روزانه ]])</f>
        <v/>
      </c>
      <c r="I426" s="47"/>
      <c r="J426" s="67">
        <f>(ج_ح_اسفند25[[#This Row],[دستمزد روزانه ]]/7.33)*1.4*ج_ح_اسفند25[[#This Row],[مدت اضافه کاری ]]</f>
        <v>0</v>
      </c>
      <c r="K426" s="66" t="str">
        <f>IF(ج_ح_اسفند25[[#This Row],[کارکرد]]="","",ج_ح_اسفند25[[#This Row],[کارکرد]]*حق_مسکن/30)</f>
        <v/>
      </c>
      <c r="L426" s="68"/>
      <c r="M426" s="66" t="str">
        <f>IF(ج_ح_اسفند25[[#This Row],[تعداد فرزندان]]="","",ج_ح_اسفند25[[#This Row],[کارکرد]]/29*3*ج_ح_اسفند25[[#This Row],[تعداد فرزندان]]*حداقل_حقوق_پایه_روزانه)</f>
        <v/>
      </c>
      <c r="N426" s="66" t="str">
        <f>IF(ج_ح_اسفند25[[#This Row],[کارکرد]]="","",ج_ح_اسفند25[[#This Row],[کارکرد]]*حق_خواربار/30)</f>
        <v/>
      </c>
      <c r="O426" s="66" t="str">
        <f>IFERROR(ج_ح_اسفند25[[#This Row],[حقوق پایه]]+ج_ح_اسفند25[[#This Row],[اضافه کاری]]+ج_ح_اسفند25[[#This Row],[حق مسکن]]+ج_ح_اسفند25[[#This Row],[حق اولاد]]+ج_ح_اسفند25[[#This Row],[حق و خواروبار]],"")</f>
        <v/>
      </c>
      <c r="P426"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26" s="66" t="str">
        <f>IFERROR(ج_ح_اسفند25[[#This Row],[حقوق پایه]]+ج_ح_اسفند25[[#This Row],[اضافه کاری]]-(2/7)*ج_ح_اسفند25[[#This Row],[بیمه پرداختنی]],"")</f>
        <v/>
      </c>
      <c r="R426" s="69"/>
      <c r="S426" s="69"/>
      <c r="T426" s="66" t="str">
        <f>IFERROR(ج_ح_اسفند25[[#This Row],[جمع ح و م م بیمه ]]*7%,"")</f>
        <v/>
      </c>
      <c r="U426"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26" s="66" t="str">
        <f>IFERROR(ج_ح_اسفند25[[#This Row],[وام]]+ج_ح_اسفند25[[#This Row],[مساعده]]+ج_ح_اسفند25[[#This Row],[بیمه پرداختنی]]+ج_ح_اسفند25[[#This Row],[مالیات پرداختنی]],"")</f>
        <v/>
      </c>
      <c r="W426" s="66" t="str">
        <f>IFERROR(ج_ح_اسفند25[[#This Row],[جمع ح و م]]-ج_ح_اسفند25[[#This Row],[جمع کسورات]],"")</f>
        <v/>
      </c>
    </row>
    <row r="427" spans="2:23" ht="32.1" customHeight="1">
      <c r="B427" s="32">
        <f t="shared" si="10"/>
        <v>12</v>
      </c>
      <c r="C427" s="65" t="str">
        <f>IF(ج_ح_اسفند25[[#This Row],[نام]]&lt;&gt;"",ROW()-414+1,"")</f>
        <v/>
      </c>
      <c r="D427" s="43"/>
      <c r="E427" s="43"/>
      <c r="F427" s="44"/>
      <c r="G427" s="45"/>
      <c r="H427" s="66" t="str">
        <f>IF(ج_ح_اسفند25[[#This Row],[کارکرد]]*ج_ح_اسفند25[[#This Row],[دستمزد روزانه ]]=0,"",ج_ح_اسفند25[[#This Row],[کارکرد]]*ج_ح_اسفند25[[#This Row],[دستمزد روزانه ]])</f>
        <v/>
      </c>
      <c r="I427" s="47"/>
      <c r="J427" s="67">
        <f>(ج_ح_اسفند25[[#This Row],[دستمزد روزانه ]]/7.33)*1.4*ج_ح_اسفند25[[#This Row],[مدت اضافه کاری ]]</f>
        <v>0</v>
      </c>
      <c r="K427" s="66" t="str">
        <f>IF(ج_ح_اسفند25[[#This Row],[کارکرد]]="","",ج_ح_اسفند25[[#This Row],[کارکرد]]*حق_مسکن/30)</f>
        <v/>
      </c>
      <c r="L427" s="68"/>
      <c r="M427" s="66" t="str">
        <f>IF(ج_ح_اسفند25[[#This Row],[تعداد فرزندان]]="","",ج_ح_اسفند25[[#This Row],[کارکرد]]/29*3*ج_ح_اسفند25[[#This Row],[تعداد فرزندان]]*حداقل_حقوق_پایه_روزانه)</f>
        <v/>
      </c>
      <c r="N427" s="66" t="str">
        <f>IF(ج_ح_اسفند25[[#This Row],[کارکرد]]="","",ج_ح_اسفند25[[#This Row],[کارکرد]]*حق_خواربار/30)</f>
        <v/>
      </c>
      <c r="O427" s="66" t="str">
        <f>IFERROR(ج_ح_اسفند25[[#This Row],[حقوق پایه]]+ج_ح_اسفند25[[#This Row],[اضافه کاری]]+ج_ح_اسفند25[[#This Row],[حق مسکن]]+ج_ح_اسفند25[[#This Row],[حق اولاد]]+ج_ح_اسفند25[[#This Row],[حق و خواروبار]],"")</f>
        <v/>
      </c>
      <c r="P427"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27" s="66" t="str">
        <f>IFERROR(ج_ح_اسفند25[[#This Row],[حقوق پایه]]+ج_ح_اسفند25[[#This Row],[اضافه کاری]]-(2/7)*ج_ح_اسفند25[[#This Row],[بیمه پرداختنی]],"")</f>
        <v/>
      </c>
      <c r="R427" s="69"/>
      <c r="S427" s="69"/>
      <c r="T427" s="66" t="str">
        <f>IFERROR(ج_ح_اسفند25[[#This Row],[جمع ح و م م بیمه ]]*7%,"")</f>
        <v/>
      </c>
      <c r="U427"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27" s="66" t="str">
        <f>IFERROR(ج_ح_اسفند25[[#This Row],[وام]]+ج_ح_اسفند25[[#This Row],[مساعده]]+ج_ح_اسفند25[[#This Row],[بیمه پرداختنی]]+ج_ح_اسفند25[[#This Row],[مالیات پرداختنی]],"")</f>
        <v/>
      </c>
      <c r="W427" s="66" t="str">
        <f>IFERROR(ج_ح_اسفند25[[#This Row],[جمع ح و م]]-ج_ح_اسفند25[[#This Row],[جمع کسورات]],"")</f>
        <v/>
      </c>
    </row>
    <row r="428" spans="2:23" ht="32.1" customHeight="1">
      <c r="B428" s="32">
        <f t="shared" si="10"/>
        <v>12</v>
      </c>
      <c r="C428" s="65" t="str">
        <f>IF(ج_ح_اسفند25[[#This Row],[نام]]&lt;&gt;"",ROW()-414+1,"")</f>
        <v/>
      </c>
      <c r="D428" s="43"/>
      <c r="E428" s="43"/>
      <c r="F428" s="44"/>
      <c r="G428" s="45"/>
      <c r="H428" s="66" t="str">
        <f>IF(ج_ح_اسفند25[[#This Row],[کارکرد]]*ج_ح_اسفند25[[#This Row],[دستمزد روزانه ]]=0,"",ج_ح_اسفند25[[#This Row],[کارکرد]]*ج_ح_اسفند25[[#This Row],[دستمزد روزانه ]])</f>
        <v/>
      </c>
      <c r="I428" s="47"/>
      <c r="J428" s="67">
        <f>(ج_ح_اسفند25[[#This Row],[دستمزد روزانه ]]/7.33)*1.4*ج_ح_اسفند25[[#This Row],[مدت اضافه کاری ]]</f>
        <v>0</v>
      </c>
      <c r="K428" s="66" t="str">
        <f>IF(ج_ح_اسفند25[[#This Row],[کارکرد]]="","",ج_ح_اسفند25[[#This Row],[کارکرد]]*حق_مسکن/30)</f>
        <v/>
      </c>
      <c r="L428" s="68"/>
      <c r="M428" s="66" t="str">
        <f>IF(ج_ح_اسفند25[[#This Row],[تعداد فرزندان]]="","",ج_ح_اسفند25[[#This Row],[کارکرد]]/29*3*ج_ح_اسفند25[[#This Row],[تعداد فرزندان]]*حداقل_حقوق_پایه_روزانه)</f>
        <v/>
      </c>
      <c r="N428" s="66" t="str">
        <f>IF(ج_ح_اسفند25[[#This Row],[کارکرد]]="","",ج_ح_اسفند25[[#This Row],[کارکرد]]*حق_خواربار/30)</f>
        <v/>
      </c>
      <c r="O428" s="66" t="str">
        <f>IFERROR(ج_ح_اسفند25[[#This Row],[حقوق پایه]]+ج_ح_اسفند25[[#This Row],[اضافه کاری]]+ج_ح_اسفند25[[#This Row],[حق مسکن]]+ج_ح_اسفند25[[#This Row],[حق اولاد]]+ج_ح_اسفند25[[#This Row],[حق و خواروبار]],"")</f>
        <v/>
      </c>
      <c r="P428"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28" s="66" t="str">
        <f>IFERROR(ج_ح_اسفند25[[#This Row],[حقوق پایه]]+ج_ح_اسفند25[[#This Row],[اضافه کاری]]-(2/7)*ج_ح_اسفند25[[#This Row],[بیمه پرداختنی]],"")</f>
        <v/>
      </c>
      <c r="R428" s="69"/>
      <c r="S428" s="69"/>
      <c r="T428" s="66" t="str">
        <f>IFERROR(ج_ح_اسفند25[[#This Row],[جمع ح و م م بیمه ]]*7%,"")</f>
        <v/>
      </c>
      <c r="U428"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28" s="66" t="str">
        <f>IFERROR(ج_ح_اسفند25[[#This Row],[وام]]+ج_ح_اسفند25[[#This Row],[مساعده]]+ج_ح_اسفند25[[#This Row],[بیمه پرداختنی]]+ج_ح_اسفند25[[#This Row],[مالیات پرداختنی]],"")</f>
        <v/>
      </c>
      <c r="W428" s="66" t="str">
        <f>IFERROR(ج_ح_اسفند25[[#This Row],[جمع ح و م]]-ج_ح_اسفند25[[#This Row],[جمع کسورات]],"")</f>
        <v/>
      </c>
    </row>
    <row r="429" spans="2:23" ht="32.1" customHeight="1">
      <c r="B429" s="32">
        <f t="shared" si="10"/>
        <v>12</v>
      </c>
      <c r="C429" s="65" t="str">
        <f>IF(ج_ح_اسفند25[[#This Row],[نام]]&lt;&gt;"",ROW()-414+1,"")</f>
        <v/>
      </c>
      <c r="D429" s="43"/>
      <c r="E429" s="43"/>
      <c r="F429" s="44"/>
      <c r="G429" s="45"/>
      <c r="H429" s="66" t="str">
        <f>IF(ج_ح_اسفند25[[#This Row],[کارکرد]]*ج_ح_اسفند25[[#This Row],[دستمزد روزانه ]]=0,"",ج_ح_اسفند25[[#This Row],[کارکرد]]*ج_ح_اسفند25[[#This Row],[دستمزد روزانه ]])</f>
        <v/>
      </c>
      <c r="I429" s="47"/>
      <c r="J429" s="67">
        <f>(ج_ح_اسفند25[[#This Row],[دستمزد روزانه ]]/7.33)*1.4*ج_ح_اسفند25[[#This Row],[مدت اضافه کاری ]]</f>
        <v>0</v>
      </c>
      <c r="K429" s="66" t="str">
        <f>IF(ج_ح_اسفند25[[#This Row],[کارکرد]]="","",ج_ح_اسفند25[[#This Row],[کارکرد]]*حق_مسکن/30)</f>
        <v/>
      </c>
      <c r="L429" s="68"/>
      <c r="M429" s="66" t="str">
        <f>IF(ج_ح_اسفند25[[#This Row],[تعداد فرزندان]]="","",ج_ح_اسفند25[[#This Row],[کارکرد]]/29*3*ج_ح_اسفند25[[#This Row],[تعداد فرزندان]]*حداقل_حقوق_پایه_روزانه)</f>
        <v/>
      </c>
      <c r="N429" s="66" t="str">
        <f>IF(ج_ح_اسفند25[[#This Row],[کارکرد]]="","",ج_ح_اسفند25[[#This Row],[کارکرد]]*حق_خواربار/30)</f>
        <v/>
      </c>
      <c r="O429" s="66" t="str">
        <f>IFERROR(ج_ح_اسفند25[[#This Row],[حقوق پایه]]+ج_ح_اسفند25[[#This Row],[اضافه کاری]]+ج_ح_اسفند25[[#This Row],[حق مسکن]]+ج_ح_اسفند25[[#This Row],[حق اولاد]]+ج_ح_اسفند25[[#This Row],[حق و خواروبار]],"")</f>
        <v/>
      </c>
      <c r="P429"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29" s="66" t="str">
        <f>IFERROR(ج_ح_اسفند25[[#This Row],[حقوق پایه]]+ج_ح_اسفند25[[#This Row],[اضافه کاری]]-(2/7)*ج_ح_اسفند25[[#This Row],[بیمه پرداختنی]],"")</f>
        <v/>
      </c>
      <c r="R429" s="69"/>
      <c r="S429" s="69"/>
      <c r="T429" s="66" t="str">
        <f>IFERROR(ج_ح_اسفند25[[#This Row],[جمع ح و م م بیمه ]]*7%,"")</f>
        <v/>
      </c>
      <c r="U429"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29" s="66" t="str">
        <f>IFERROR(ج_ح_اسفند25[[#This Row],[وام]]+ج_ح_اسفند25[[#This Row],[مساعده]]+ج_ح_اسفند25[[#This Row],[بیمه پرداختنی]]+ج_ح_اسفند25[[#This Row],[مالیات پرداختنی]],"")</f>
        <v/>
      </c>
      <c r="W429" s="66" t="str">
        <f>IFERROR(ج_ح_اسفند25[[#This Row],[جمع ح و م]]-ج_ح_اسفند25[[#This Row],[جمع کسورات]],"")</f>
        <v/>
      </c>
    </row>
    <row r="430" spans="2:23" ht="32.1" customHeight="1">
      <c r="B430" s="32">
        <f t="shared" si="10"/>
        <v>12</v>
      </c>
      <c r="C430" s="65" t="str">
        <f>IF(ج_ح_اسفند25[[#This Row],[نام]]&lt;&gt;"",ROW()-414+1,"")</f>
        <v/>
      </c>
      <c r="D430" s="43"/>
      <c r="E430" s="43"/>
      <c r="F430" s="44"/>
      <c r="G430" s="45"/>
      <c r="H430" s="66" t="str">
        <f>IF(ج_ح_اسفند25[[#This Row],[کارکرد]]*ج_ح_اسفند25[[#This Row],[دستمزد روزانه ]]=0,"",ج_ح_اسفند25[[#This Row],[کارکرد]]*ج_ح_اسفند25[[#This Row],[دستمزد روزانه ]])</f>
        <v/>
      </c>
      <c r="I430" s="47"/>
      <c r="J430" s="67">
        <f>(ج_ح_اسفند25[[#This Row],[دستمزد روزانه ]]/7.33)*1.4*ج_ح_اسفند25[[#This Row],[مدت اضافه کاری ]]</f>
        <v>0</v>
      </c>
      <c r="K430" s="66" t="str">
        <f>IF(ج_ح_اسفند25[[#This Row],[کارکرد]]="","",ج_ح_اسفند25[[#This Row],[کارکرد]]*حق_مسکن/30)</f>
        <v/>
      </c>
      <c r="L430" s="68"/>
      <c r="M430" s="66" t="str">
        <f>IF(ج_ح_اسفند25[[#This Row],[تعداد فرزندان]]="","",ج_ح_اسفند25[[#This Row],[کارکرد]]/29*3*ج_ح_اسفند25[[#This Row],[تعداد فرزندان]]*حداقل_حقوق_پایه_روزانه)</f>
        <v/>
      </c>
      <c r="N430" s="66" t="str">
        <f>IF(ج_ح_اسفند25[[#This Row],[کارکرد]]="","",ج_ح_اسفند25[[#This Row],[کارکرد]]*حق_خواربار/30)</f>
        <v/>
      </c>
      <c r="O430" s="66" t="str">
        <f>IFERROR(ج_ح_اسفند25[[#This Row],[حقوق پایه]]+ج_ح_اسفند25[[#This Row],[اضافه کاری]]+ج_ح_اسفند25[[#This Row],[حق مسکن]]+ج_ح_اسفند25[[#This Row],[حق اولاد]]+ج_ح_اسفند25[[#This Row],[حق و خواروبار]],"")</f>
        <v/>
      </c>
      <c r="P430"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30" s="66" t="str">
        <f>IFERROR(ج_ح_اسفند25[[#This Row],[حقوق پایه]]+ج_ح_اسفند25[[#This Row],[اضافه کاری]]-(2/7)*ج_ح_اسفند25[[#This Row],[بیمه پرداختنی]],"")</f>
        <v/>
      </c>
      <c r="R430" s="69"/>
      <c r="S430" s="69"/>
      <c r="T430" s="66" t="str">
        <f>IFERROR(ج_ح_اسفند25[[#This Row],[جمع ح و م م بیمه ]]*7%,"")</f>
        <v/>
      </c>
      <c r="U430"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30" s="66" t="str">
        <f>IFERROR(ج_ح_اسفند25[[#This Row],[وام]]+ج_ح_اسفند25[[#This Row],[مساعده]]+ج_ح_اسفند25[[#This Row],[بیمه پرداختنی]]+ج_ح_اسفند25[[#This Row],[مالیات پرداختنی]],"")</f>
        <v/>
      </c>
      <c r="W430" s="66" t="str">
        <f>IFERROR(ج_ح_اسفند25[[#This Row],[جمع ح و م]]-ج_ح_اسفند25[[#This Row],[جمع کسورات]],"")</f>
        <v/>
      </c>
    </row>
    <row r="431" spans="2:23" ht="32.1" customHeight="1">
      <c r="B431" s="32">
        <f t="shared" si="10"/>
        <v>12</v>
      </c>
      <c r="C431" s="65" t="str">
        <f>IF(ج_ح_اسفند25[[#This Row],[نام]]&lt;&gt;"",ROW()-414+1,"")</f>
        <v/>
      </c>
      <c r="D431" s="43"/>
      <c r="E431" s="43"/>
      <c r="F431" s="44"/>
      <c r="G431" s="45"/>
      <c r="H431" s="66" t="str">
        <f>IF(ج_ح_اسفند25[[#This Row],[کارکرد]]*ج_ح_اسفند25[[#This Row],[دستمزد روزانه ]]=0,"",ج_ح_اسفند25[[#This Row],[کارکرد]]*ج_ح_اسفند25[[#This Row],[دستمزد روزانه ]])</f>
        <v/>
      </c>
      <c r="I431" s="47"/>
      <c r="J431" s="67">
        <f>(ج_ح_اسفند25[[#This Row],[دستمزد روزانه ]]/7.33)*1.4*ج_ح_اسفند25[[#This Row],[مدت اضافه کاری ]]</f>
        <v>0</v>
      </c>
      <c r="K431" s="66" t="str">
        <f>IF(ج_ح_اسفند25[[#This Row],[کارکرد]]="","",ج_ح_اسفند25[[#This Row],[کارکرد]]*حق_مسکن/30)</f>
        <v/>
      </c>
      <c r="L431" s="68"/>
      <c r="M431" s="66" t="str">
        <f>IF(ج_ح_اسفند25[[#This Row],[تعداد فرزندان]]="","",ج_ح_اسفند25[[#This Row],[کارکرد]]/29*3*ج_ح_اسفند25[[#This Row],[تعداد فرزندان]]*حداقل_حقوق_پایه_روزانه)</f>
        <v/>
      </c>
      <c r="N431" s="66" t="str">
        <f>IF(ج_ح_اسفند25[[#This Row],[کارکرد]]="","",ج_ح_اسفند25[[#This Row],[کارکرد]]*حق_خواربار/30)</f>
        <v/>
      </c>
      <c r="O431" s="66" t="str">
        <f>IFERROR(ج_ح_اسفند25[[#This Row],[حقوق پایه]]+ج_ح_اسفند25[[#This Row],[اضافه کاری]]+ج_ح_اسفند25[[#This Row],[حق مسکن]]+ج_ح_اسفند25[[#This Row],[حق اولاد]]+ج_ح_اسفند25[[#This Row],[حق و خواروبار]],"")</f>
        <v/>
      </c>
      <c r="P431"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31" s="66" t="str">
        <f>IFERROR(ج_ح_اسفند25[[#This Row],[حقوق پایه]]+ج_ح_اسفند25[[#This Row],[اضافه کاری]]-(2/7)*ج_ح_اسفند25[[#This Row],[بیمه پرداختنی]],"")</f>
        <v/>
      </c>
      <c r="R431" s="69"/>
      <c r="S431" s="69"/>
      <c r="T431" s="66" t="str">
        <f>IFERROR(ج_ح_اسفند25[[#This Row],[جمع ح و م م بیمه ]]*7%,"")</f>
        <v/>
      </c>
      <c r="U431"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31" s="66" t="str">
        <f>IFERROR(ج_ح_اسفند25[[#This Row],[وام]]+ج_ح_اسفند25[[#This Row],[مساعده]]+ج_ح_اسفند25[[#This Row],[بیمه پرداختنی]]+ج_ح_اسفند25[[#This Row],[مالیات پرداختنی]],"")</f>
        <v/>
      </c>
      <c r="W431" s="66" t="str">
        <f>IFERROR(ج_ح_اسفند25[[#This Row],[جمع ح و م]]-ج_ح_اسفند25[[#This Row],[جمع کسورات]],"")</f>
        <v/>
      </c>
    </row>
    <row r="432" spans="2:23" ht="32.1" customHeight="1">
      <c r="B432" s="32">
        <f t="shared" si="10"/>
        <v>12</v>
      </c>
      <c r="C432" s="65" t="str">
        <f>IF(ج_ح_اسفند25[[#This Row],[نام]]&lt;&gt;"",ROW()-414+1,"")</f>
        <v/>
      </c>
      <c r="D432" s="43"/>
      <c r="E432" s="43"/>
      <c r="F432" s="44"/>
      <c r="G432" s="45"/>
      <c r="H432" s="66" t="str">
        <f>IF(ج_ح_اسفند25[[#This Row],[کارکرد]]*ج_ح_اسفند25[[#This Row],[دستمزد روزانه ]]=0,"",ج_ح_اسفند25[[#This Row],[کارکرد]]*ج_ح_اسفند25[[#This Row],[دستمزد روزانه ]])</f>
        <v/>
      </c>
      <c r="I432" s="47"/>
      <c r="J432" s="67">
        <f>(ج_ح_اسفند25[[#This Row],[دستمزد روزانه ]]/7.33)*1.4*ج_ح_اسفند25[[#This Row],[مدت اضافه کاری ]]</f>
        <v>0</v>
      </c>
      <c r="K432" s="66" t="str">
        <f>IF(ج_ح_اسفند25[[#This Row],[کارکرد]]="","",ج_ح_اسفند25[[#This Row],[کارکرد]]*حق_مسکن/30)</f>
        <v/>
      </c>
      <c r="L432" s="68"/>
      <c r="M432" s="66" t="str">
        <f>IF(ج_ح_اسفند25[[#This Row],[تعداد فرزندان]]="","",ج_ح_اسفند25[[#This Row],[کارکرد]]/29*3*ج_ح_اسفند25[[#This Row],[تعداد فرزندان]]*حداقل_حقوق_پایه_روزانه)</f>
        <v/>
      </c>
      <c r="N432" s="66" t="str">
        <f>IF(ج_ح_اسفند25[[#This Row],[کارکرد]]="","",ج_ح_اسفند25[[#This Row],[کارکرد]]*حق_خواربار/30)</f>
        <v/>
      </c>
      <c r="O432" s="66" t="str">
        <f>IFERROR(ج_ح_اسفند25[[#This Row],[حقوق پایه]]+ج_ح_اسفند25[[#This Row],[اضافه کاری]]+ج_ح_اسفند25[[#This Row],[حق مسکن]]+ج_ح_اسفند25[[#This Row],[حق اولاد]]+ج_ح_اسفند25[[#This Row],[حق و خواروبار]],"")</f>
        <v/>
      </c>
      <c r="P432"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32" s="66" t="str">
        <f>IFERROR(ج_ح_اسفند25[[#This Row],[حقوق پایه]]+ج_ح_اسفند25[[#This Row],[اضافه کاری]]-(2/7)*ج_ح_اسفند25[[#This Row],[بیمه پرداختنی]],"")</f>
        <v/>
      </c>
      <c r="R432" s="69"/>
      <c r="S432" s="69"/>
      <c r="T432" s="66" t="str">
        <f>IFERROR(ج_ح_اسفند25[[#This Row],[جمع ح و م م بیمه ]]*7%,"")</f>
        <v/>
      </c>
      <c r="U432"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32" s="66" t="str">
        <f>IFERROR(ج_ح_اسفند25[[#This Row],[وام]]+ج_ح_اسفند25[[#This Row],[مساعده]]+ج_ح_اسفند25[[#This Row],[بیمه پرداختنی]]+ج_ح_اسفند25[[#This Row],[مالیات پرداختنی]],"")</f>
        <v/>
      </c>
      <c r="W432" s="66" t="str">
        <f>IFERROR(ج_ح_اسفند25[[#This Row],[جمع ح و م]]-ج_ح_اسفند25[[#This Row],[جمع کسورات]],"")</f>
        <v/>
      </c>
    </row>
    <row r="433" spans="2:23" ht="32.1" customHeight="1">
      <c r="B433" s="32">
        <f t="shared" si="10"/>
        <v>12</v>
      </c>
      <c r="C433" s="65" t="str">
        <f>IF(ج_ح_اسفند25[[#This Row],[نام]]&lt;&gt;"",ROW()-414+1,"")</f>
        <v/>
      </c>
      <c r="D433" s="43"/>
      <c r="E433" s="43"/>
      <c r="F433" s="44"/>
      <c r="G433" s="45"/>
      <c r="H433" s="66" t="str">
        <f>IF(ج_ح_اسفند25[[#This Row],[کارکرد]]*ج_ح_اسفند25[[#This Row],[دستمزد روزانه ]]=0,"",ج_ح_اسفند25[[#This Row],[کارکرد]]*ج_ح_اسفند25[[#This Row],[دستمزد روزانه ]])</f>
        <v/>
      </c>
      <c r="I433" s="47"/>
      <c r="J433" s="67">
        <f>(ج_ح_اسفند25[[#This Row],[دستمزد روزانه ]]/7.33)*1.4*ج_ح_اسفند25[[#This Row],[مدت اضافه کاری ]]</f>
        <v>0</v>
      </c>
      <c r="K433" s="66" t="str">
        <f>IF(ج_ح_اسفند25[[#This Row],[کارکرد]]="","",ج_ح_اسفند25[[#This Row],[کارکرد]]*حق_مسکن/30)</f>
        <v/>
      </c>
      <c r="L433" s="68"/>
      <c r="M433" s="66" t="str">
        <f>IF(ج_ح_اسفند25[[#This Row],[تعداد فرزندان]]="","",ج_ح_اسفند25[[#This Row],[کارکرد]]/29*3*ج_ح_اسفند25[[#This Row],[تعداد فرزندان]]*حداقل_حقوق_پایه_روزانه)</f>
        <v/>
      </c>
      <c r="N433" s="66" t="str">
        <f>IF(ج_ح_اسفند25[[#This Row],[کارکرد]]="","",ج_ح_اسفند25[[#This Row],[کارکرد]]*حق_خواربار/30)</f>
        <v/>
      </c>
      <c r="O433" s="66" t="str">
        <f>IFERROR(ج_ح_اسفند25[[#This Row],[حقوق پایه]]+ج_ح_اسفند25[[#This Row],[اضافه کاری]]+ج_ح_اسفند25[[#This Row],[حق مسکن]]+ج_ح_اسفند25[[#This Row],[حق اولاد]]+ج_ح_اسفند25[[#This Row],[حق و خواروبار]],"")</f>
        <v/>
      </c>
      <c r="P433"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33" s="66" t="str">
        <f>IFERROR(ج_ح_اسفند25[[#This Row],[حقوق پایه]]+ج_ح_اسفند25[[#This Row],[اضافه کاری]]-(2/7)*ج_ح_اسفند25[[#This Row],[بیمه پرداختنی]],"")</f>
        <v/>
      </c>
      <c r="R433" s="69"/>
      <c r="S433" s="69"/>
      <c r="T433" s="66" t="str">
        <f>IFERROR(ج_ح_اسفند25[[#This Row],[جمع ح و م م بیمه ]]*7%,"")</f>
        <v/>
      </c>
      <c r="U433"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33" s="66" t="str">
        <f>IFERROR(ج_ح_اسفند25[[#This Row],[وام]]+ج_ح_اسفند25[[#This Row],[مساعده]]+ج_ح_اسفند25[[#This Row],[بیمه پرداختنی]]+ج_ح_اسفند25[[#This Row],[مالیات پرداختنی]],"")</f>
        <v/>
      </c>
      <c r="W433" s="66" t="str">
        <f>IFERROR(ج_ح_اسفند25[[#This Row],[جمع ح و م]]-ج_ح_اسفند25[[#This Row],[جمع کسورات]],"")</f>
        <v/>
      </c>
    </row>
    <row r="434" spans="2:23" ht="32.1" customHeight="1">
      <c r="B434" s="32">
        <f t="shared" si="10"/>
        <v>12</v>
      </c>
      <c r="C434" s="65" t="str">
        <f>IF(ج_ح_اسفند25[[#This Row],[نام]]&lt;&gt;"",ROW()-414+1,"")</f>
        <v/>
      </c>
      <c r="D434" s="43"/>
      <c r="E434" s="43"/>
      <c r="F434" s="44"/>
      <c r="G434" s="45"/>
      <c r="H434" s="66" t="str">
        <f>IF(ج_ح_اسفند25[[#This Row],[کارکرد]]*ج_ح_اسفند25[[#This Row],[دستمزد روزانه ]]=0,"",ج_ح_اسفند25[[#This Row],[کارکرد]]*ج_ح_اسفند25[[#This Row],[دستمزد روزانه ]])</f>
        <v/>
      </c>
      <c r="I434" s="47"/>
      <c r="J434" s="67">
        <f>(ج_ح_اسفند25[[#This Row],[دستمزد روزانه ]]/7.33)*1.4*ج_ح_اسفند25[[#This Row],[مدت اضافه کاری ]]</f>
        <v>0</v>
      </c>
      <c r="K434" s="66" t="str">
        <f>IF(ج_ح_اسفند25[[#This Row],[کارکرد]]="","",ج_ح_اسفند25[[#This Row],[کارکرد]]*حق_مسکن/30)</f>
        <v/>
      </c>
      <c r="L434" s="68"/>
      <c r="M434" s="66" t="str">
        <f>IF(ج_ح_اسفند25[[#This Row],[تعداد فرزندان]]="","",ج_ح_اسفند25[[#This Row],[کارکرد]]/29*3*ج_ح_اسفند25[[#This Row],[تعداد فرزندان]]*حداقل_حقوق_پایه_روزانه)</f>
        <v/>
      </c>
      <c r="N434" s="66" t="str">
        <f>IF(ج_ح_اسفند25[[#This Row],[کارکرد]]="","",ج_ح_اسفند25[[#This Row],[کارکرد]]*حق_خواربار/30)</f>
        <v/>
      </c>
      <c r="O434" s="66" t="str">
        <f>IFERROR(ج_ح_اسفند25[[#This Row],[حقوق پایه]]+ج_ح_اسفند25[[#This Row],[اضافه کاری]]+ج_ح_اسفند25[[#This Row],[حق مسکن]]+ج_ح_اسفند25[[#This Row],[حق اولاد]]+ج_ح_اسفند25[[#This Row],[حق و خواروبار]],"")</f>
        <v/>
      </c>
      <c r="P434"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34" s="66" t="str">
        <f>IFERROR(ج_ح_اسفند25[[#This Row],[حقوق پایه]]+ج_ح_اسفند25[[#This Row],[اضافه کاری]]-(2/7)*ج_ح_اسفند25[[#This Row],[بیمه پرداختنی]],"")</f>
        <v/>
      </c>
      <c r="R434" s="69"/>
      <c r="S434" s="69"/>
      <c r="T434" s="66" t="str">
        <f>IFERROR(ج_ح_اسفند25[[#This Row],[جمع ح و م م بیمه ]]*7%,"")</f>
        <v/>
      </c>
      <c r="U434"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34" s="66" t="str">
        <f>IFERROR(ج_ح_اسفند25[[#This Row],[وام]]+ج_ح_اسفند25[[#This Row],[مساعده]]+ج_ح_اسفند25[[#This Row],[بیمه پرداختنی]]+ج_ح_اسفند25[[#This Row],[مالیات پرداختنی]],"")</f>
        <v/>
      </c>
      <c r="W434" s="66" t="str">
        <f>IFERROR(ج_ح_اسفند25[[#This Row],[جمع ح و م]]-ج_ح_اسفند25[[#This Row],[جمع کسورات]],"")</f>
        <v/>
      </c>
    </row>
    <row r="435" spans="2:23" ht="32.1" customHeight="1">
      <c r="B435" s="32">
        <f t="shared" si="10"/>
        <v>12</v>
      </c>
      <c r="C435" s="65" t="str">
        <f>IF(ج_ح_اسفند25[[#This Row],[نام]]&lt;&gt;"",ROW()-414+1,"")</f>
        <v/>
      </c>
      <c r="D435" s="43"/>
      <c r="E435" s="43"/>
      <c r="F435" s="44"/>
      <c r="G435" s="45"/>
      <c r="H435" s="66" t="str">
        <f>IF(ج_ح_اسفند25[[#This Row],[کارکرد]]*ج_ح_اسفند25[[#This Row],[دستمزد روزانه ]]=0,"",ج_ح_اسفند25[[#This Row],[کارکرد]]*ج_ح_اسفند25[[#This Row],[دستمزد روزانه ]])</f>
        <v/>
      </c>
      <c r="I435" s="47"/>
      <c r="J435" s="67">
        <f>(ج_ح_اسفند25[[#This Row],[دستمزد روزانه ]]/7.33)*1.4*ج_ح_اسفند25[[#This Row],[مدت اضافه کاری ]]</f>
        <v>0</v>
      </c>
      <c r="K435" s="66" t="str">
        <f>IF(ج_ح_اسفند25[[#This Row],[کارکرد]]="","",ج_ح_اسفند25[[#This Row],[کارکرد]]*حق_مسکن/30)</f>
        <v/>
      </c>
      <c r="L435" s="68"/>
      <c r="M435" s="66" t="str">
        <f>IF(ج_ح_اسفند25[[#This Row],[تعداد فرزندان]]="","",ج_ح_اسفند25[[#This Row],[کارکرد]]/29*3*ج_ح_اسفند25[[#This Row],[تعداد فرزندان]]*حداقل_حقوق_پایه_روزانه)</f>
        <v/>
      </c>
      <c r="N435" s="66" t="str">
        <f>IF(ج_ح_اسفند25[[#This Row],[کارکرد]]="","",ج_ح_اسفند25[[#This Row],[کارکرد]]*حق_خواربار/30)</f>
        <v/>
      </c>
      <c r="O435" s="66" t="str">
        <f>IFERROR(ج_ح_اسفند25[[#This Row],[حقوق پایه]]+ج_ح_اسفند25[[#This Row],[اضافه کاری]]+ج_ح_اسفند25[[#This Row],[حق مسکن]]+ج_ح_اسفند25[[#This Row],[حق اولاد]]+ج_ح_اسفند25[[#This Row],[حق و خواروبار]],"")</f>
        <v/>
      </c>
      <c r="P435"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35" s="66" t="str">
        <f>IFERROR(ج_ح_اسفند25[[#This Row],[حقوق پایه]]+ج_ح_اسفند25[[#This Row],[اضافه کاری]]-(2/7)*ج_ح_اسفند25[[#This Row],[بیمه پرداختنی]],"")</f>
        <v/>
      </c>
      <c r="R435" s="69"/>
      <c r="S435" s="69"/>
      <c r="T435" s="66" t="str">
        <f>IFERROR(ج_ح_اسفند25[[#This Row],[جمع ح و م م بیمه ]]*7%,"")</f>
        <v/>
      </c>
      <c r="U435"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35" s="66" t="str">
        <f>IFERROR(ج_ح_اسفند25[[#This Row],[وام]]+ج_ح_اسفند25[[#This Row],[مساعده]]+ج_ح_اسفند25[[#This Row],[بیمه پرداختنی]]+ج_ح_اسفند25[[#This Row],[مالیات پرداختنی]],"")</f>
        <v/>
      </c>
      <c r="W435" s="66" t="str">
        <f>IFERROR(ج_ح_اسفند25[[#This Row],[جمع ح و م]]-ج_ح_اسفند25[[#This Row],[جمع کسورات]],"")</f>
        <v/>
      </c>
    </row>
    <row r="436" spans="2:23" ht="32.1" customHeight="1">
      <c r="B436" s="32">
        <f t="shared" si="10"/>
        <v>12</v>
      </c>
      <c r="C436" s="65" t="str">
        <f>IF(ج_ح_اسفند25[[#This Row],[نام]]&lt;&gt;"",ROW()-414+1,"")</f>
        <v/>
      </c>
      <c r="D436" s="43"/>
      <c r="E436" s="43"/>
      <c r="F436" s="44"/>
      <c r="G436" s="45"/>
      <c r="H436" s="66" t="str">
        <f>IF(ج_ح_اسفند25[[#This Row],[کارکرد]]*ج_ح_اسفند25[[#This Row],[دستمزد روزانه ]]=0,"",ج_ح_اسفند25[[#This Row],[کارکرد]]*ج_ح_اسفند25[[#This Row],[دستمزد روزانه ]])</f>
        <v/>
      </c>
      <c r="I436" s="47"/>
      <c r="J436" s="67">
        <f>(ج_ح_اسفند25[[#This Row],[دستمزد روزانه ]]/7.33)*1.4*ج_ح_اسفند25[[#This Row],[مدت اضافه کاری ]]</f>
        <v>0</v>
      </c>
      <c r="K436" s="66" t="str">
        <f>IF(ج_ح_اسفند25[[#This Row],[کارکرد]]="","",ج_ح_اسفند25[[#This Row],[کارکرد]]*حق_مسکن/30)</f>
        <v/>
      </c>
      <c r="L436" s="68"/>
      <c r="M436" s="66" t="str">
        <f>IF(ج_ح_اسفند25[[#This Row],[تعداد فرزندان]]="","",ج_ح_اسفند25[[#This Row],[کارکرد]]/29*3*ج_ح_اسفند25[[#This Row],[تعداد فرزندان]]*حداقل_حقوق_پایه_روزانه)</f>
        <v/>
      </c>
      <c r="N436" s="66" t="str">
        <f>IF(ج_ح_اسفند25[[#This Row],[کارکرد]]="","",ج_ح_اسفند25[[#This Row],[کارکرد]]*حق_خواربار/30)</f>
        <v/>
      </c>
      <c r="O436" s="66" t="str">
        <f>IFERROR(ج_ح_اسفند25[[#This Row],[حقوق پایه]]+ج_ح_اسفند25[[#This Row],[اضافه کاری]]+ج_ح_اسفند25[[#This Row],[حق مسکن]]+ج_ح_اسفند25[[#This Row],[حق اولاد]]+ج_ح_اسفند25[[#This Row],[حق و خواروبار]],"")</f>
        <v/>
      </c>
      <c r="P436"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36" s="66" t="str">
        <f>IFERROR(ج_ح_اسفند25[[#This Row],[حقوق پایه]]+ج_ح_اسفند25[[#This Row],[اضافه کاری]]-(2/7)*ج_ح_اسفند25[[#This Row],[بیمه پرداختنی]],"")</f>
        <v/>
      </c>
      <c r="R436" s="69"/>
      <c r="S436" s="69"/>
      <c r="T436" s="66" t="str">
        <f>IFERROR(ج_ح_اسفند25[[#This Row],[جمع ح و م م بیمه ]]*7%,"")</f>
        <v/>
      </c>
      <c r="U436"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36" s="66" t="str">
        <f>IFERROR(ج_ح_اسفند25[[#This Row],[وام]]+ج_ح_اسفند25[[#This Row],[مساعده]]+ج_ح_اسفند25[[#This Row],[بیمه پرداختنی]]+ج_ح_اسفند25[[#This Row],[مالیات پرداختنی]],"")</f>
        <v/>
      </c>
      <c r="W436" s="66" t="str">
        <f>IFERROR(ج_ح_اسفند25[[#This Row],[جمع ح و م]]-ج_ح_اسفند25[[#This Row],[جمع کسورات]],"")</f>
        <v/>
      </c>
    </row>
    <row r="437" spans="2:23" ht="32.1" customHeight="1">
      <c r="B437" s="32">
        <f t="shared" si="10"/>
        <v>12</v>
      </c>
      <c r="C437" s="65" t="str">
        <f>IF(ج_ح_اسفند25[[#This Row],[نام]]&lt;&gt;"",ROW()-414+1,"")</f>
        <v/>
      </c>
      <c r="D437" s="43"/>
      <c r="E437" s="43"/>
      <c r="F437" s="44"/>
      <c r="G437" s="45"/>
      <c r="H437" s="66" t="str">
        <f>IF(ج_ح_اسفند25[[#This Row],[کارکرد]]*ج_ح_اسفند25[[#This Row],[دستمزد روزانه ]]=0,"",ج_ح_اسفند25[[#This Row],[کارکرد]]*ج_ح_اسفند25[[#This Row],[دستمزد روزانه ]])</f>
        <v/>
      </c>
      <c r="I437" s="47"/>
      <c r="J437" s="67">
        <f>(ج_ح_اسفند25[[#This Row],[دستمزد روزانه ]]/7.33)*1.4*ج_ح_اسفند25[[#This Row],[مدت اضافه کاری ]]</f>
        <v>0</v>
      </c>
      <c r="K437" s="66" t="str">
        <f>IF(ج_ح_اسفند25[[#This Row],[کارکرد]]="","",ج_ح_اسفند25[[#This Row],[کارکرد]]*حق_مسکن/30)</f>
        <v/>
      </c>
      <c r="L437" s="68"/>
      <c r="M437" s="66" t="str">
        <f>IF(ج_ح_اسفند25[[#This Row],[تعداد فرزندان]]="","",ج_ح_اسفند25[[#This Row],[کارکرد]]/29*3*ج_ح_اسفند25[[#This Row],[تعداد فرزندان]]*حداقل_حقوق_پایه_روزانه)</f>
        <v/>
      </c>
      <c r="N437" s="66" t="str">
        <f>IF(ج_ح_اسفند25[[#This Row],[کارکرد]]="","",ج_ح_اسفند25[[#This Row],[کارکرد]]*حق_خواربار/30)</f>
        <v/>
      </c>
      <c r="O437" s="66" t="str">
        <f>IFERROR(ج_ح_اسفند25[[#This Row],[حقوق پایه]]+ج_ح_اسفند25[[#This Row],[اضافه کاری]]+ج_ح_اسفند25[[#This Row],[حق مسکن]]+ج_ح_اسفند25[[#This Row],[حق اولاد]]+ج_ح_اسفند25[[#This Row],[حق و خواروبار]],"")</f>
        <v/>
      </c>
      <c r="P437"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37" s="66" t="str">
        <f>IFERROR(ج_ح_اسفند25[[#This Row],[حقوق پایه]]+ج_ح_اسفند25[[#This Row],[اضافه کاری]]-(2/7)*ج_ح_اسفند25[[#This Row],[بیمه پرداختنی]],"")</f>
        <v/>
      </c>
      <c r="R437" s="69"/>
      <c r="S437" s="69"/>
      <c r="T437" s="66" t="str">
        <f>IFERROR(ج_ح_اسفند25[[#This Row],[جمع ح و م م بیمه ]]*7%,"")</f>
        <v/>
      </c>
      <c r="U437"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37" s="66" t="str">
        <f>IFERROR(ج_ح_اسفند25[[#This Row],[وام]]+ج_ح_اسفند25[[#This Row],[مساعده]]+ج_ح_اسفند25[[#This Row],[بیمه پرداختنی]]+ج_ح_اسفند25[[#This Row],[مالیات پرداختنی]],"")</f>
        <v/>
      </c>
      <c r="W437" s="66" t="str">
        <f>IFERROR(ج_ح_اسفند25[[#This Row],[جمع ح و م]]-ج_ح_اسفند25[[#This Row],[جمع کسورات]],"")</f>
        <v/>
      </c>
    </row>
    <row r="438" spans="2:23" ht="32.1" customHeight="1">
      <c r="B438" s="32">
        <f t="shared" si="10"/>
        <v>12</v>
      </c>
      <c r="C438" s="65" t="str">
        <f>IF(ج_ح_اسفند25[[#This Row],[نام]]&lt;&gt;"",ROW()-414+1,"")</f>
        <v/>
      </c>
      <c r="D438" s="43"/>
      <c r="E438" s="43"/>
      <c r="F438" s="44"/>
      <c r="G438" s="45"/>
      <c r="H438" s="66" t="str">
        <f>IF(ج_ح_اسفند25[[#This Row],[کارکرد]]*ج_ح_اسفند25[[#This Row],[دستمزد روزانه ]]=0,"",ج_ح_اسفند25[[#This Row],[کارکرد]]*ج_ح_اسفند25[[#This Row],[دستمزد روزانه ]])</f>
        <v/>
      </c>
      <c r="I438" s="47"/>
      <c r="J438" s="67">
        <f>(ج_ح_اسفند25[[#This Row],[دستمزد روزانه ]]/7.33)*1.4*ج_ح_اسفند25[[#This Row],[مدت اضافه کاری ]]</f>
        <v>0</v>
      </c>
      <c r="K438" s="66" t="str">
        <f>IF(ج_ح_اسفند25[[#This Row],[کارکرد]]="","",ج_ح_اسفند25[[#This Row],[کارکرد]]*حق_مسکن/30)</f>
        <v/>
      </c>
      <c r="L438" s="68"/>
      <c r="M438" s="66" t="str">
        <f>IF(ج_ح_اسفند25[[#This Row],[تعداد فرزندان]]="","",ج_ح_اسفند25[[#This Row],[کارکرد]]/29*3*ج_ح_اسفند25[[#This Row],[تعداد فرزندان]]*حداقل_حقوق_پایه_روزانه)</f>
        <v/>
      </c>
      <c r="N438" s="66" t="str">
        <f>IF(ج_ح_اسفند25[[#This Row],[کارکرد]]="","",ج_ح_اسفند25[[#This Row],[کارکرد]]*حق_خواربار/30)</f>
        <v/>
      </c>
      <c r="O438" s="66" t="str">
        <f>IFERROR(ج_ح_اسفند25[[#This Row],[حقوق پایه]]+ج_ح_اسفند25[[#This Row],[اضافه کاری]]+ج_ح_اسفند25[[#This Row],[حق مسکن]]+ج_ح_اسفند25[[#This Row],[حق اولاد]]+ج_ح_اسفند25[[#This Row],[حق و خواروبار]],"")</f>
        <v/>
      </c>
      <c r="P438"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38" s="66" t="str">
        <f>IFERROR(ج_ح_اسفند25[[#This Row],[حقوق پایه]]+ج_ح_اسفند25[[#This Row],[اضافه کاری]]-(2/7)*ج_ح_اسفند25[[#This Row],[بیمه پرداختنی]],"")</f>
        <v/>
      </c>
      <c r="R438" s="69"/>
      <c r="S438" s="69"/>
      <c r="T438" s="66" t="str">
        <f>IFERROR(ج_ح_اسفند25[[#This Row],[جمع ح و م م بیمه ]]*7%,"")</f>
        <v/>
      </c>
      <c r="U438"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38" s="66" t="str">
        <f>IFERROR(ج_ح_اسفند25[[#This Row],[وام]]+ج_ح_اسفند25[[#This Row],[مساعده]]+ج_ح_اسفند25[[#This Row],[بیمه پرداختنی]]+ج_ح_اسفند25[[#This Row],[مالیات پرداختنی]],"")</f>
        <v/>
      </c>
      <c r="W438" s="66" t="str">
        <f>IFERROR(ج_ح_اسفند25[[#This Row],[جمع ح و م]]-ج_ح_اسفند25[[#This Row],[جمع کسورات]],"")</f>
        <v/>
      </c>
    </row>
    <row r="439" spans="2:23" ht="32.1" customHeight="1">
      <c r="B439" s="32">
        <f t="shared" si="10"/>
        <v>12</v>
      </c>
      <c r="C439" s="65" t="str">
        <f>IF(ج_ح_اسفند25[[#This Row],[نام]]&lt;&gt;"",ROW()-414+1,"")</f>
        <v/>
      </c>
      <c r="D439" s="43"/>
      <c r="E439" s="43"/>
      <c r="F439" s="44"/>
      <c r="G439" s="45"/>
      <c r="H439" s="66" t="str">
        <f>IF(ج_ح_اسفند25[[#This Row],[کارکرد]]*ج_ح_اسفند25[[#This Row],[دستمزد روزانه ]]=0,"",ج_ح_اسفند25[[#This Row],[کارکرد]]*ج_ح_اسفند25[[#This Row],[دستمزد روزانه ]])</f>
        <v/>
      </c>
      <c r="I439" s="47"/>
      <c r="J439" s="67">
        <f>(ج_ح_اسفند25[[#This Row],[دستمزد روزانه ]]/7.33)*1.4*ج_ح_اسفند25[[#This Row],[مدت اضافه کاری ]]</f>
        <v>0</v>
      </c>
      <c r="K439" s="66" t="str">
        <f>IF(ج_ح_اسفند25[[#This Row],[کارکرد]]="","",ج_ح_اسفند25[[#This Row],[کارکرد]]*حق_مسکن/30)</f>
        <v/>
      </c>
      <c r="L439" s="68"/>
      <c r="M439" s="66" t="str">
        <f>IF(ج_ح_اسفند25[[#This Row],[تعداد فرزندان]]="","",ج_ح_اسفند25[[#This Row],[کارکرد]]/29*3*ج_ح_اسفند25[[#This Row],[تعداد فرزندان]]*حداقل_حقوق_پایه_روزانه)</f>
        <v/>
      </c>
      <c r="N439" s="66" t="str">
        <f>IF(ج_ح_اسفند25[[#This Row],[کارکرد]]="","",ج_ح_اسفند25[[#This Row],[کارکرد]]*حق_خواربار/30)</f>
        <v/>
      </c>
      <c r="O439" s="66" t="str">
        <f>IFERROR(ج_ح_اسفند25[[#This Row],[حقوق پایه]]+ج_ح_اسفند25[[#This Row],[اضافه کاری]]+ج_ح_اسفند25[[#This Row],[حق مسکن]]+ج_ح_اسفند25[[#This Row],[حق اولاد]]+ج_ح_اسفند25[[#This Row],[حق و خواروبار]],"")</f>
        <v/>
      </c>
      <c r="P439"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39" s="66" t="str">
        <f>IFERROR(ج_ح_اسفند25[[#This Row],[حقوق پایه]]+ج_ح_اسفند25[[#This Row],[اضافه کاری]]-(2/7)*ج_ح_اسفند25[[#This Row],[بیمه پرداختنی]],"")</f>
        <v/>
      </c>
      <c r="R439" s="69"/>
      <c r="S439" s="69"/>
      <c r="T439" s="66" t="str">
        <f>IFERROR(ج_ح_اسفند25[[#This Row],[جمع ح و م م بیمه ]]*7%,"")</f>
        <v/>
      </c>
      <c r="U439"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39" s="66" t="str">
        <f>IFERROR(ج_ح_اسفند25[[#This Row],[وام]]+ج_ح_اسفند25[[#This Row],[مساعده]]+ج_ح_اسفند25[[#This Row],[بیمه پرداختنی]]+ج_ح_اسفند25[[#This Row],[مالیات پرداختنی]],"")</f>
        <v/>
      </c>
      <c r="W439" s="66" t="str">
        <f>IFERROR(ج_ح_اسفند25[[#This Row],[جمع ح و م]]-ج_ح_اسفند25[[#This Row],[جمع کسورات]],"")</f>
        <v/>
      </c>
    </row>
    <row r="440" spans="2:23" ht="32.1" customHeight="1">
      <c r="B440" s="32">
        <f t="shared" si="10"/>
        <v>12</v>
      </c>
      <c r="C440" s="65" t="str">
        <f>IF(ج_ح_اسفند25[[#This Row],[نام]]&lt;&gt;"",ROW()-414+1,"")</f>
        <v/>
      </c>
      <c r="D440" s="43"/>
      <c r="E440" s="43"/>
      <c r="F440" s="44"/>
      <c r="G440" s="45"/>
      <c r="H440" s="66" t="str">
        <f>IF(ج_ح_اسفند25[[#This Row],[کارکرد]]*ج_ح_اسفند25[[#This Row],[دستمزد روزانه ]]=0,"",ج_ح_اسفند25[[#This Row],[کارکرد]]*ج_ح_اسفند25[[#This Row],[دستمزد روزانه ]])</f>
        <v/>
      </c>
      <c r="I440" s="47"/>
      <c r="J440" s="67">
        <f>(ج_ح_اسفند25[[#This Row],[دستمزد روزانه ]]/7.33)*1.4*ج_ح_اسفند25[[#This Row],[مدت اضافه کاری ]]</f>
        <v>0</v>
      </c>
      <c r="K440" s="66" t="str">
        <f>IF(ج_ح_اسفند25[[#This Row],[کارکرد]]="","",ج_ح_اسفند25[[#This Row],[کارکرد]]*حق_مسکن/30)</f>
        <v/>
      </c>
      <c r="L440" s="68"/>
      <c r="M440" s="66" t="str">
        <f>IF(ج_ح_اسفند25[[#This Row],[تعداد فرزندان]]="","",ج_ح_اسفند25[[#This Row],[کارکرد]]/29*3*ج_ح_اسفند25[[#This Row],[تعداد فرزندان]]*حداقل_حقوق_پایه_روزانه)</f>
        <v/>
      </c>
      <c r="N440" s="66" t="str">
        <f>IF(ج_ح_اسفند25[[#This Row],[کارکرد]]="","",ج_ح_اسفند25[[#This Row],[کارکرد]]*حق_خواربار/30)</f>
        <v/>
      </c>
      <c r="O440" s="66" t="str">
        <f>IFERROR(ج_ح_اسفند25[[#This Row],[حقوق پایه]]+ج_ح_اسفند25[[#This Row],[اضافه کاری]]+ج_ح_اسفند25[[#This Row],[حق مسکن]]+ج_ح_اسفند25[[#This Row],[حق اولاد]]+ج_ح_اسفند25[[#This Row],[حق و خواروبار]],"")</f>
        <v/>
      </c>
      <c r="P440"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40" s="66" t="str">
        <f>IFERROR(ج_ح_اسفند25[[#This Row],[حقوق پایه]]+ج_ح_اسفند25[[#This Row],[اضافه کاری]]-(2/7)*ج_ح_اسفند25[[#This Row],[بیمه پرداختنی]],"")</f>
        <v/>
      </c>
      <c r="R440" s="69"/>
      <c r="S440" s="69"/>
      <c r="T440" s="66" t="str">
        <f>IFERROR(ج_ح_اسفند25[[#This Row],[جمع ح و م م بیمه ]]*7%,"")</f>
        <v/>
      </c>
      <c r="U440"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40" s="66" t="str">
        <f>IFERROR(ج_ح_اسفند25[[#This Row],[وام]]+ج_ح_اسفند25[[#This Row],[مساعده]]+ج_ح_اسفند25[[#This Row],[بیمه پرداختنی]]+ج_ح_اسفند25[[#This Row],[مالیات پرداختنی]],"")</f>
        <v/>
      </c>
      <c r="W440" s="66" t="str">
        <f>IFERROR(ج_ح_اسفند25[[#This Row],[جمع ح و م]]-ج_ح_اسفند25[[#This Row],[جمع کسورات]],"")</f>
        <v/>
      </c>
    </row>
    <row r="441" spans="2:23" ht="32.1" customHeight="1">
      <c r="B441" s="32">
        <f t="shared" si="10"/>
        <v>12</v>
      </c>
      <c r="C441" s="65" t="str">
        <f>IF(ج_ح_اسفند25[[#This Row],[نام]]&lt;&gt;"",ROW()-414+1,"")</f>
        <v/>
      </c>
      <c r="D441" s="43"/>
      <c r="E441" s="43"/>
      <c r="F441" s="44"/>
      <c r="G441" s="45"/>
      <c r="H441" s="66" t="str">
        <f>IF(ج_ح_اسفند25[[#This Row],[کارکرد]]*ج_ح_اسفند25[[#This Row],[دستمزد روزانه ]]=0,"",ج_ح_اسفند25[[#This Row],[کارکرد]]*ج_ح_اسفند25[[#This Row],[دستمزد روزانه ]])</f>
        <v/>
      </c>
      <c r="I441" s="47"/>
      <c r="J441" s="67">
        <f>(ج_ح_اسفند25[[#This Row],[دستمزد روزانه ]]/7.33)*1.4*ج_ح_اسفند25[[#This Row],[مدت اضافه کاری ]]</f>
        <v>0</v>
      </c>
      <c r="K441" s="66" t="str">
        <f>IF(ج_ح_اسفند25[[#This Row],[کارکرد]]="","",ج_ح_اسفند25[[#This Row],[کارکرد]]*حق_مسکن/30)</f>
        <v/>
      </c>
      <c r="L441" s="68"/>
      <c r="M441" s="66" t="str">
        <f>IF(ج_ح_اسفند25[[#This Row],[تعداد فرزندان]]="","",ج_ح_اسفند25[[#This Row],[کارکرد]]/29*3*ج_ح_اسفند25[[#This Row],[تعداد فرزندان]]*حداقل_حقوق_پایه_روزانه)</f>
        <v/>
      </c>
      <c r="N441" s="66" t="str">
        <f>IF(ج_ح_اسفند25[[#This Row],[کارکرد]]="","",ج_ح_اسفند25[[#This Row],[کارکرد]]*حق_خواربار/30)</f>
        <v/>
      </c>
      <c r="O441" s="66" t="str">
        <f>IFERROR(ج_ح_اسفند25[[#This Row],[حقوق پایه]]+ج_ح_اسفند25[[#This Row],[اضافه کاری]]+ج_ح_اسفند25[[#This Row],[حق مسکن]]+ج_ح_اسفند25[[#This Row],[حق اولاد]]+ج_ح_اسفند25[[#This Row],[حق و خواروبار]],"")</f>
        <v/>
      </c>
      <c r="P441"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41" s="66" t="str">
        <f>IFERROR(ج_ح_اسفند25[[#This Row],[حقوق پایه]]+ج_ح_اسفند25[[#This Row],[اضافه کاری]]-(2/7)*ج_ح_اسفند25[[#This Row],[بیمه پرداختنی]],"")</f>
        <v/>
      </c>
      <c r="R441" s="69"/>
      <c r="S441" s="69"/>
      <c r="T441" s="66" t="str">
        <f>IFERROR(ج_ح_اسفند25[[#This Row],[جمع ح و م م بیمه ]]*7%,"")</f>
        <v/>
      </c>
      <c r="U441"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41" s="66" t="str">
        <f>IFERROR(ج_ح_اسفند25[[#This Row],[وام]]+ج_ح_اسفند25[[#This Row],[مساعده]]+ج_ح_اسفند25[[#This Row],[بیمه پرداختنی]]+ج_ح_اسفند25[[#This Row],[مالیات پرداختنی]],"")</f>
        <v/>
      </c>
      <c r="W441" s="66" t="str">
        <f>IFERROR(ج_ح_اسفند25[[#This Row],[جمع ح و م]]-ج_ح_اسفند25[[#This Row],[جمع کسورات]],"")</f>
        <v/>
      </c>
    </row>
    <row r="442" spans="2:23" ht="32.1" customHeight="1">
      <c r="B442" s="32">
        <f t="shared" si="10"/>
        <v>12</v>
      </c>
      <c r="C442" s="65" t="str">
        <f>IF(ج_ح_اسفند25[[#This Row],[نام]]&lt;&gt;"",ROW()-414+1,"")</f>
        <v/>
      </c>
      <c r="D442" s="43"/>
      <c r="E442" s="43"/>
      <c r="F442" s="44"/>
      <c r="G442" s="45"/>
      <c r="H442" s="66" t="str">
        <f>IF(ج_ح_اسفند25[[#This Row],[کارکرد]]*ج_ح_اسفند25[[#This Row],[دستمزد روزانه ]]=0,"",ج_ح_اسفند25[[#This Row],[کارکرد]]*ج_ح_اسفند25[[#This Row],[دستمزد روزانه ]])</f>
        <v/>
      </c>
      <c r="I442" s="47"/>
      <c r="J442" s="67">
        <f>(ج_ح_اسفند25[[#This Row],[دستمزد روزانه ]]/7.33)*1.4*ج_ح_اسفند25[[#This Row],[مدت اضافه کاری ]]</f>
        <v>0</v>
      </c>
      <c r="K442" s="66" t="str">
        <f>IF(ج_ح_اسفند25[[#This Row],[کارکرد]]="","",ج_ح_اسفند25[[#This Row],[کارکرد]]*حق_مسکن/30)</f>
        <v/>
      </c>
      <c r="L442" s="68"/>
      <c r="M442" s="66" t="str">
        <f>IF(ج_ح_اسفند25[[#This Row],[تعداد فرزندان]]="","",ج_ح_اسفند25[[#This Row],[کارکرد]]/29*3*ج_ح_اسفند25[[#This Row],[تعداد فرزندان]]*حداقل_حقوق_پایه_روزانه)</f>
        <v/>
      </c>
      <c r="N442" s="66" t="str">
        <f>IF(ج_ح_اسفند25[[#This Row],[کارکرد]]="","",ج_ح_اسفند25[[#This Row],[کارکرد]]*حق_خواربار/30)</f>
        <v/>
      </c>
      <c r="O442" s="66" t="str">
        <f>IFERROR(ج_ح_اسفند25[[#This Row],[حقوق پایه]]+ج_ح_اسفند25[[#This Row],[اضافه کاری]]+ج_ح_اسفند25[[#This Row],[حق مسکن]]+ج_ح_اسفند25[[#This Row],[حق اولاد]]+ج_ح_اسفند25[[#This Row],[حق و خواروبار]],"")</f>
        <v/>
      </c>
      <c r="P442"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42" s="66" t="str">
        <f>IFERROR(ج_ح_اسفند25[[#This Row],[حقوق پایه]]+ج_ح_اسفند25[[#This Row],[اضافه کاری]]-(2/7)*ج_ح_اسفند25[[#This Row],[بیمه پرداختنی]],"")</f>
        <v/>
      </c>
      <c r="R442" s="69"/>
      <c r="S442" s="69"/>
      <c r="T442" s="66" t="str">
        <f>IFERROR(ج_ح_اسفند25[[#This Row],[جمع ح و م م بیمه ]]*7%,"")</f>
        <v/>
      </c>
      <c r="U442"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42" s="66" t="str">
        <f>IFERROR(ج_ح_اسفند25[[#This Row],[وام]]+ج_ح_اسفند25[[#This Row],[مساعده]]+ج_ح_اسفند25[[#This Row],[بیمه پرداختنی]]+ج_ح_اسفند25[[#This Row],[مالیات پرداختنی]],"")</f>
        <v/>
      </c>
      <c r="W442" s="66" t="str">
        <f>IFERROR(ج_ح_اسفند25[[#This Row],[جمع ح و م]]-ج_ح_اسفند25[[#This Row],[جمع کسورات]],"")</f>
        <v/>
      </c>
    </row>
    <row r="443" spans="2:23" ht="32.1" customHeight="1">
      <c r="B443" s="32">
        <f t="shared" si="10"/>
        <v>12</v>
      </c>
      <c r="C443" s="65" t="str">
        <f>IF(ج_ح_اسفند25[[#This Row],[نام]]&lt;&gt;"",ROW()-414+1,"")</f>
        <v/>
      </c>
      <c r="D443" s="43"/>
      <c r="E443" s="43"/>
      <c r="F443" s="44"/>
      <c r="G443" s="45"/>
      <c r="H443" s="66" t="str">
        <f>IF(ج_ح_اسفند25[[#This Row],[کارکرد]]*ج_ح_اسفند25[[#This Row],[دستمزد روزانه ]]=0,"",ج_ح_اسفند25[[#This Row],[کارکرد]]*ج_ح_اسفند25[[#This Row],[دستمزد روزانه ]])</f>
        <v/>
      </c>
      <c r="I443" s="47"/>
      <c r="J443" s="67">
        <f>(ج_ح_اسفند25[[#This Row],[دستمزد روزانه ]]/7.33)*1.4*ج_ح_اسفند25[[#This Row],[مدت اضافه کاری ]]</f>
        <v>0</v>
      </c>
      <c r="K443" s="66" t="str">
        <f>IF(ج_ح_اسفند25[[#This Row],[کارکرد]]="","",ج_ح_اسفند25[[#This Row],[کارکرد]]*حق_مسکن/30)</f>
        <v/>
      </c>
      <c r="L443" s="68"/>
      <c r="M443" s="66" t="str">
        <f>IF(ج_ح_اسفند25[[#This Row],[تعداد فرزندان]]="","",ج_ح_اسفند25[[#This Row],[کارکرد]]/29*3*ج_ح_اسفند25[[#This Row],[تعداد فرزندان]]*حداقل_حقوق_پایه_روزانه)</f>
        <v/>
      </c>
      <c r="N443" s="66" t="str">
        <f>IF(ج_ح_اسفند25[[#This Row],[کارکرد]]="","",ج_ح_اسفند25[[#This Row],[کارکرد]]*حق_خواربار/30)</f>
        <v/>
      </c>
      <c r="O443" s="66" t="str">
        <f>IFERROR(ج_ح_اسفند25[[#This Row],[حقوق پایه]]+ج_ح_اسفند25[[#This Row],[اضافه کاری]]+ج_ح_اسفند25[[#This Row],[حق مسکن]]+ج_ح_اسفند25[[#This Row],[حق اولاد]]+ج_ح_اسفند25[[#This Row],[حق و خواروبار]],"")</f>
        <v/>
      </c>
      <c r="P443" s="66" t="str">
        <f>IFERROR(IF(ج_ح_اسفند25[[#This Row],[حقوق پایه]]+ج_ح_اسفند25[[#This Row],[اضافه کاری]]+ج_ح_اسفند25[[#This Row],[حق مسکن]]+ج_ح_اسفند25[[#This Row],[حق و خواروبار]]&gt;حداکثر_حقوق_مشمول_بیمه_ماهانه,حداکثر_حقوق_مشمول_بیمه_ماهانه,ج_ح_اسفند25[[#This Row],[حقوق پایه]]+ج_ح_اسفند25[[#This Row],[اضافه کاری]]+ج_ح_اسفند25[[#This Row],[حق مسکن]]+ج_ح_اسفند25[[#This Row],[حق و خواروبار]]),"")</f>
        <v/>
      </c>
      <c r="Q443" s="66" t="str">
        <f>IFERROR(ج_ح_اسفند25[[#This Row],[حقوق پایه]]+ج_ح_اسفند25[[#This Row],[اضافه کاری]]-(2/7)*ج_ح_اسفند25[[#This Row],[بیمه پرداختنی]],"")</f>
        <v/>
      </c>
      <c r="R443" s="69"/>
      <c r="S443" s="69"/>
      <c r="T443" s="66" t="str">
        <f>IFERROR(ج_ح_اسفند25[[#This Row],[جمع ح و م م بیمه ]]*7%,"")</f>
        <v/>
      </c>
      <c r="U443" s="70" t="str">
        <f>IFERROR(IF(ج_ح_اسفند25[[#This Row],[جمع ح و م م مالیات]]&gt;=320000000,(ج_ح_اسفند25[[#This Row],[جمع ح و م م مالیات]]-320000000)*35%+61000000,
IF(ج_ح_اسفند25[[#This Row],[جمع ح و م م مالیات]]&gt;=240000000,(ج_ح_اسفند25[[#This Row],[جمع ح و م م مالیات]]-240000000)*30%+37000000,
IF(ج_ح_اسفند25[[#This Row],[جمع ح و م م مالیات]]&gt;=180000000,(ج_ح_اسفند25[[#This Row],[جمع ح و م م مالیات]]-180000000)*25%+22000000,
IF(ج_ح_اسفند25[[#This Row],[جمع ح و م م مالیات]]&gt;=120000000,(ج_ح_اسفند25[[#This Row],[جمع ح و م م مالیات]]-120000000)*20%+1000000,
IF(ج_ح_اسفند25[[#This Row],[جمع ح و م م مالیات]]&gt;=80000000,(ج_ح_اسفند25[[#This Row],[جمع ح و م م مالیات]]-80000000)*15%+4000000,
IF(ج_ح_اسفند25[[#This Row],[جمع ح و م م مالیات]]&gt;=40000000,(ج_ح_اسفند25[[#This Row],[جمع ح و م م مالیات]]-40000000)*10%,0)))))),"")</f>
        <v/>
      </c>
      <c r="V443" s="66" t="str">
        <f>IFERROR(ج_ح_اسفند25[[#This Row],[وام]]+ج_ح_اسفند25[[#This Row],[مساعده]]+ج_ح_اسفند25[[#This Row],[بیمه پرداختنی]]+ج_ح_اسفند25[[#This Row],[مالیات پرداختنی]],"")</f>
        <v/>
      </c>
      <c r="W443" s="66" t="str">
        <f>IFERROR(ج_ح_اسفند25[[#This Row],[جمع ح و م]]-ج_ح_اسفند25[[#This Row],[جمع کسورات]],"")</f>
        <v/>
      </c>
    </row>
    <row r="444" spans="2:23" ht="32.1" customHeight="1">
      <c r="B444" s="32">
        <f t="shared" si="10"/>
        <v>12</v>
      </c>
      <c r="C444" s="51"/>
      <c r="D444" s="52"/>
      <c r="E444" s="52" t="s">
        <v>124</v>
      </c>
      <c r="F444" s="53">
        <f>SUBTOTAL(109,ج_ح_اسفند25[کارکرد])</f>
        <v>29</v>
      </c>
      <c r="G444" s="54">
        <f>SUBTOTAL(109,ج_ح_اسفند25[[دستمزد روزانه ]])</f>
        <v>1000000</v>
      </c>
      <c r="H444" s="54">
        <f>SUBTOTAL(109,ج_ح_اسفند25[حقوق پایه])</f>
        <v>29000000</v>
      </c>
      <c r="I444" s="55">
        <f>SUBTOTAL(109,ج_ح_اسفند25[[مدت اضافه کاری ]])</f>
        <v>7.33</v>
      </c>
      <c r="J444" s="56">
        <f>SUBTOTAL(109,ج_ح_اسفند25[اضافه کاری])</f>
        <v>1400000</v>
      </c>
      <c r="K444" s="54">
        <f>SUBTOTAL(109,ج_ح_اسفند25[حق مسکن])</f>
        <v>0</v>
      </c>
      <c r="L444" s="57">
        <f>SUBTOTAL(109,ج_ح_اسفند25[تعداد فرزندان])</f>
        <v>1</v>
      </c>
      <c r="M444" s="54">
        <f>SUBTOTAL(109,ج_ح_اسفند25[حق اولاد])</f>
        <v>0</v>
      </c>
      <c r="N444" s="54">
        <f>SUBTOTAL(109,ج_ح_اسفند25[حق و خواروبار])</f>
        <v>0</v>
      </c>
      <c r="O444" s="54">
        <f>SUBTOTAL(109,ج_ح_اسفند25[جمع ح و م])</f>
        <v>30400000</v>
      </c>
      <c r="P444" s="54">
        <f>SUBTOTAL(109,ج_ح_اسفند25[[جمع ح و م م بیمه ]])</f>
        <v>0</v>
      </c>
      <c r="Q444" s="54">
        <f>SUBTOTAL(109,ج_ح_اسفند25[جمع ح و م م مالیات])</f>
        <v>0</v>
      </c>
      <c r="R444" s="54">
        <f>SUBTOTAL(109,ج_ح_اسفند25[وام])</f>
        <v>0</v>
      </c>
      <c r="S444" s="54">
        <f>SUBTOTAL(109,ج_ح_اسفند25[مساعده])</f>
        <v>0</v>
      </c>
      <c r="T444" s="54">
        <f>SUBTOTAL(109,ج_ح_اسفند25[بیمه پرداختنی])</f>
        <v>0</v>
      </c>
      <c r="U444" s="54">
        <f>SUBTOTAL(109,ج_ح_اسفند25[مالیات پرداختنی])</f>
        <v>0</v>
      </c>
      <c r="V444" s="54">
        <f>SUBTOTAL(109,ج_ح_اسفند25[جمع کسورات])</f>
        <v>0</v>
      </c>
      <c r="W444" s="54">
        <f>SUBTOTAL(109,ج_ح_اسفند25[خالص قابل پرداخت])</f>
        <v>0</v>
      </c>
    </row>
    <row r="445" spans="2:23" ht="8.1" customHeight="1"/>
  </sheetData>
  <sheetProtection formatCells="0" selectLockedCells="1" sort="0" autoFilter="0"/>
  <mergeCells count="36">
    <mergeCell ref="C115:C116"/>
    <mergeCell ref="C2:W2"/>
    <mergeCell ref="C3:W3"/>
    <mergeCell ref="C4:C5"/>
    <mergeCell ref="C39:W39"/>
    <mergeCell ref="C40:W40"/>
    <mergeCell ref="C41:C42"/>
    <mergeCell ref="C76:W76"/>
    <mergeCell ref="C77:W77"/>
    <mergeCell ref="C78:C79"/>
    <mergeCell ref="C113:W113"/>
    <mergeCell ref="C114:W114"/>
    <mergeCell ref="C263:C264"/>
    <mergeCell ref="C150:W150"/>
    <mergeCell ref="C151:W151"/>
    <mergeCell ref="C152:C153"/>
    <mergeCell ref="C187:W187"/>
    <mergeCell ref="C188:W188"/>
    <mergeCell ref="C189:C190"/>
    <mergeCell ref="C224:W224"/>
    <mergeCell ref="C225:W225"/>
    <mergeCell ref="C226:C227"/>
    <mergeCell ref="C261:W261"/>
    <mergeCell ref="C262:W262"/>
    <mergeCell ref="C411:C412"/>
    <mergeCell ref="C298:W298"/>
    <mergeCell ref="C299:W299"/>
    <mergeCell ref="C300:C301"/>
    <mergeCell ref="C335:W335"/>
    <mergeCell ref="C336:W336"/>
    <mergeCell ref="C337:C338"/>
    <mergeCell ref="C372:W372"/>
    <mergeCell ref="C373:W373"/>
    <mergeCell ref="C374:C375"/>
    <mergeCell ref="C409:W409"/>
    <mergeCell ref="C410:W410"/>
  </mergeCells>
  <dataValidations count="4">
    <dataValidation type="decimal" allowBlank="1" showInputMessage="1" showErrorMessage="1" errorTitle="! ورودی اشتباه" error="_x000a__x000a_کاربر گرامی، تعداد روزهای کارکرد نمیتواند بزرگتر از 29 روز باشد_x000a__x000a_" sqref="F414:F443" xr:uid="{CB72F840-5AF3-455A-AD1F-B434DD3A20CF}">
      <formula1>0</formula1>
      <formula2>29</formula2>
    </dataValidation>
    <dataValidation type="decimal" allowBlank="1" showInputMessage="1" showErrorMessage="1" errorTitle="! ورودی اشتباه" error="_x000a__x000a_کاربر گرامی، تعداد روزهای کارکرد نمیتواند بزرگتر از 30 روز باشد_x000a__x000a_" sqref="F229:F258 F266:F295 F303:F332 F340:F369 F377:F406" xr:uid="{6C34A9FB-D7BB-4E2C-A590-2069A36237B0}">
      <formula1>0</formula1>
      <formula2>30</formula2>
    </dataValidation>
    <dataValidation type="decimal" allowBlank="1" showInputMessage="1" showErrorMessage="1" errorTitle="! ورودی اشتباه" error="_x000a__x000a_کاربر گرامی، تعداد روزهای کارکرد نمیتواند بزرگتر از 31 روز باشد_x000a__x000a_" sqref="F7:F36 F44:F73 F81:F110 F118:F147 F155:F184 F192:F221" xr:uid="{C333A95C-CEB9-46E4-9CCE-C3DD08FEF264}">
      <formula1>0</formula1>
      <formula2>31</formula2>
    </dataValidation>
    <dataValidation type="whole" operator="greaterThanOrEqual" allowBlank="1" showInputMessage="1" showErrorMessage="1" errorTitle="! ورودی اشتباه" error="_x000a__x000a_کاربر گرامی، حقوق پایه سال 1400  نباید کمتر از 885165 ریال باشد_x000a__x000a_" sqref="G7:G36 G44:G73 G81:G110 G118:G147 G155:G184 G192:G221 G229:G258 G266:G295 G303:G332 G340:G369 G377:G406 G414:G443" xr:uid="{647B06D7-3BC7-4C11-9275-0E9CCC3E85A4}">
      <formula1>حداقل_حقوق_پایه_روزانه</formula1>
    </dataValidation>
  </dataValidations>
  <printOptions horizontalCentered="1"/>
  <pageMargins left="0" right="0" top="0.39370078740157483" bottom="0" header="0" footer="0"/>
  <pageSetup paperSize="9" scale="40" orientation="landscape" r:id="rId1"/>
  <rowBreaks count="11" manualBreakCount="11">
    <brk id="38" min="2" max="22" man="1"/>
    <brk id="75" min="2" max="22" man="1"/>
    <brk id="112" min="2" max="22" man="1"/>
    <brk id="149" min="2" max="22" man="1"/>
    <brk id="186" min="2" max="22" man="1"/>
    <brk id="223" min="2" max="22" man="1"/>
    <brk id="260" min="2" max="22" man="1"/>
    <brk id="297" min="2" max="22" man="1"/>
    <brk id="334" min="2" max="22" man="1"/>
    <brk id="371" min="2" max="22" man="1"/>
    <brk id="408" min="2" max="22" man="1"/>
  </rowBreaks>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AE1B8-5899-4BF5-B24E-5BE051339DC2}">
  <sheetPr>
    <tabColor theme="0"/>
  </sheetPr>
  <dimension ref="B1:Q38"/>
  <sheetViews>
    <sheetView rightToLeft="1" view="pageBreakPreview" topLeftCell="A4" zoomScale="70" zoomScaleNormal="60" zoomScaleSheetLayoutView="70" workbookViewId="0">
      <selection activeCell="J6" sqref="J6"/>
    </sheetView>
  </sheetViews>
  <sheetFormatPr defaultColWidth="9" defaultRowHeight="14.25"/>
  <cols>
    <col min="1" max="1" width="1.625" style="32" customWidth="1"/>
    <col min="2" max="2" width="5.5" style="32" customWidth="1"/>
    <col min="3" max="4" width="18.5" style="32" customWidth="1"/>
    <col min="5" max="17" width="20.625" style="32" customWidth="1"/>
    <col min="18" max="16384" width="9" style="32"/>
  </cols>
  <sheetData>
    <row r="1" spans="2:17" ht="9.9499999999999993" customHeight="1"/>
    <row r="2" spans="2:17" s="33" customFormat="1" ht="39.950000000000003" customHeight="1">
      <c r="B2" s="115" t="s">
        <v>94</v>
      </c>
      <c r="C2" s="115"/>
      <c r="D2" s="115"/>
      <c r="E2" s="115"/>
      <c r="F2" s="115"/>
      <c r="G2" s="115"/>
      <c r="H2" s="115"/>
      <c r="I2" s="115"/>
      <c r="J2" s="115"/>
      <c r="K2" s="115"/>
      <c r="L2" s="115"/>
      <c r="M2" s="115"/>
      <c r="N2" s="115"/>
      <c r="O2" s="115"/>
      <c r="P2" s="115"/>
      <c r="Q2" s="115"/>
    </row>
    <row r="3" spans="2:17" s="33" customFormat="1" ht="50.1" customHeight="1">
      <c r="B3" s="116" t="s">
        <v>150</v>
      </c>
      <c r="C3" s="116"/>
      <c r="D3" s="116"/>
      <c r="E3" s="116"/>
      <c r="F3" s="116"/>
      <c r="G3" s="116"/>
      <c r="H3" s="116"/>
      <c r="I3" s="116"/>
      <c r="J3" s="116"/>
      <c r="K3" s="116"/>
      <c r="L3" s="116"/>
      <c r="M3" s="116"/>
      <c r="N3" s="116"/>
      <c r="O3" s="116"/>
      <c r="P3" s="116"/>
      <c r="Q3" s="116"/>
    </row>
    <row r="4" spans="2:17" s="35" customFormat="1" ht="24.95" customHeight="1">
      <c r="B4" s="113" t="s">
        <v>45</v>
      </c>
      <c r="C4" s="113" t="s">
        <v>96</v>
      </c>
      <c r="D4" s="113" t="s">
        <v>97</v>
      </c>
      <c r="E4" s="113" t="s">
        <v>149</v>
      </c>
      <c r="F4" s="113" t="s">
        <v>148</v>
      </c>
      <c r="G4" s="113" t="s">
        <v>147</v>
      </c>
      <c r="H4" s="113" t="s">
        <v>146</v>
      </c>
      <c r="I4" s="113" t="s">
        <v>145</v>
      </c>
      <c r="J4" s="113" t="s">
        <v>144</v>
      </c>
      <c r="K4" s="113" t="s">
        <v>143</v>
      </c>
      <c r="L4" s="113" t="s">
        <v>142</v>
      </c>
      <c r="M4" s="113" t="s">
        <v>141</v>
      </c>
      <c r="N4" s="113" t="s">
        <v>140</v>
      </c>
      <c r="O4" s="113" t="s">
        <v>139</v>
      </c>
      <c r="P4" s="113" t="s">
        <v>138</v>
      </c>
      <c r="Q4" s="113" t="s">
        <v>124</v>
      </c>
    </row>
    <row r="5" spans="2:17" s="35" customFormat="1" ht="24.95" customHeight="1">
      <c r="B5" s="114"/>
      <c r="C5" s="114"/>
      <c r="D5" s="114"/>
      <c r="E5" s="114"/>
      <c r="F5" s="114"/>
      <c r="G5" s="114"/>
      <c r="H5" s="114"/>
      <c r="I5" s="114"/>
      <c r="J5" s="114"/>
      <c r="K5" s="114"/>
      <c r="L5" s="114"/>
      <c r="M5" s="114"/>
      <c r="N5" s="114"/>
      <c r="O5" s="114"/>
      <c r="P5" s="114"/>
      <c r="Q5" s="114"/>
    </row>
    <row r="6" spans="2:17" s="33" customFormat="1" ht="20.100000000000001" customHeight="1">
      <c r="B6" s="39" t="s">
        <v>45</v>
      </c>
      <c r="C6" s="39" t="s">
        <v>96</v>
      </c>
      <c r="D6" s="39" t="s">
        <v>97</v>
      </c>
      <c r="E6" s="39" t="s">
        <v>149</v>
      </c>
      <c r="F6" s="39" t="s">
        <v>148</v>
      </c>
      <c r="G6" s="39" t="s">
        <v>147</v>
      </c>
      <c r="H6" s="39" t="s">
        <v>146</v>
      </c>
      <c r="I6" s="39" t="s">
        <v>145</v>
      </c>
      <c r="J6" s="39" t="s">
        <v>144</v>
      </c>
      <c r="K6" s="39" t="s">
        <v>143</v>
      </c>
      <c r="L6" s="39" t="s">
        <v>142</v>
      </c>
      <c r="M6" s="39" t="s">
        <v>141</v>
      </c>
      <c r="N6" s="39" t="s">
        <v>140</v>
      </c>
      <c r="O6" s="39" t="s">
        <v>139</v>
      </c>
      <c r="P6" s="39" t="s">
        <v>138</v>
      </c>
      <c r="Q6" s="39" t="s">
        <v>137</v>
      </c>
    </row>
    <row r="7" spans="2:17" ht="32.1" customHeight="1">
      <c r="B7" s="65">
        <f>IF(ج_ح_فروردین28[[#This Row],[نام]]&lt;&gt;"",ROW()-7+1,"")</f>
        <v>1</v>
      </c>
      <c r="C7" s="71" t="s">
        <v>123</v>
      </c>
      <c r="D7" s="71" t="s">
        <v>123</v>
      </c>
      <c r="E7" s="66">
        <v>45905495</v>
      </c>
      <c r="F7" s="66" t="s">
        <v>179</v>
      </c>
      <c r="G7" s="66">
        <v>45905495</v>
      </c>
      <c r="H7" s="66" t="s">
        <v>179</v>
      </c>
      <c r="I7" s="66">
        <v>45905495</v>
      </c>
      <c r="J7" s="66" t="s">
        <v>179</v>
      </c>
      <c r="K7" s="66">
        <v>44555495</v>
      </c>
      <c r="L7" s="66" t="s">
        <v>179</v>
      </c>
      <c r="M7" s="66">
        <v>44555495</v>
      </c>
      <c r="N7" s="70" t="s">
        <v>179</v>
      </c>
      <c r="O7" s="66">
        <v>44555495</v>
      </c>
      <c r="P7" s="66" t="s">
        <v>179</v>
      </c>
      <c r="Q7" s="66">
        <f>IF(SUM(ج_ح_فروردین28[[#This Row],[فروردین]:[اسفند]])&gt;0,SUM(ج_ح_فروردین28[[#This Row],[فروردین]:[اسفند]]),"")</f>
        <v>271382970</v>
      </c>
    </row>
    <row r="8" spans="2:17" ht="32.1" customHeight="1">
      <c r="B8" s="65">
        <f>IF(ج_ح_فروردین28[[#This Row],[نام]]&lt;&gt;"",ROW()-7+1,"")</f>
        <v>2</v>
      </c>
      <c r="C8" s="71" t="s">
        <v>126</v>
      </c>
      <c r="D8" s="71" t="s">
        <v>126</v>
      </c>
      <c r="E8" s="66" t="s">
        <v>179</v>
      </c>
      <c r="F8" s="66">
        <v>45905495</v>
      </c>
      <c r="G8" s="66" t="s">
        <v>179</v>
      </c>
      <c r="H8" s="66">
        <v>45905495</v>
      </c>
      <c r="I8" s="66" t="s">
        <v>179</v>
      </c>
      <c r="J8" s="66">
        <v>45905495</v>
      </c>
      <c r="K8" s="66" t="s">
        <v>179</v>
      </c>
      <c r="L8" s="66">
        <v>44555495</v>
      </c>
      <c r="M8" s="66" t="s">
        <v>179</v>
      </c>
      <c r="N8" s="70">
        <v>44555495</v>
      </c>
      <c r="O8" s="66" t="s">
        <v>179</v>
      </c>
      <c r="P8" s="66">
        <v>43205495</v>
      </c>
      <c r="Q8" s="66">
        <f>IF(SUM(ج_ح_فروردین28[[#This Row],[فروردین]:[اسفند]])&gt;0,SUM(ج_ح_فروردین28[[#This Row],[فروردین]:[اسفند]]),"")</f>
        <v>270032970</v>
      </c>
    </row>
    <row r="9" spans="2:17" ht="32.1" customHeight="1">
      <c r="B9" s="65" t="str">
        <f>IF(ج_ح_فروردین28[[#This Row],[نام]]&lt;&gt;"",ROW()-7+1,"")</f>
        <v/>
      </c>
      <c r="C9" s="71"/>
      <c r="D9" s="71"/>
      <c r="E9" s="66" t="s">
        <v>179</v>
      </c>
      <c r="F9" s="66" t="s">
        <v>179</v>
      </c>
      <c r="G9" s="66" t="s">
        <v>179</v>
      </c>
      <c r="H9" s="66" t="s">
        <v>179</v>
      </c>
      <c r="I9" s="66" t="s">
        <v>179</v>
      </c>
      <c r="J9" s="66" t="s">
        <v>179</v>
      </c>
      <c r="K9" s="66" t="s">
        <v>179</v>
      </c>
      <c r="L9" s="66" t="s">
        <v>179</v>
      </c>
      <c r="M9" s="66" t="s">
        <v>179</v>
      </c>
      <c r="N9" s="70" t="s">
        <v>179</v>
      </c>
      <c r="O9" s="66" t="s">
        <v>179</v>
      </c>
      <c r="P9" s="66" t="s">
        <v>179</v>
      </c>
      <c r="Q9" s="66" t="str">
        <f>IF(SUM(ج_ح_فروردین28[[#This Row],[فروردین]:[اسفند]])&gt;0,SUM(ج_ح_فروردین28[[#This Row],[فروردین]:[اسفند]]),"")</f>
        <v/>
      </c>
    </row>
    <row r="10" spans="2:17" ht="32.1" customHeight="1">
      <c r="B10" s="65" t="str">
        <f>IF(ج_ح_فروردین28[[#This Row],[نام]]&lt;&gt;"",ROW()-7+1,"")</f>
        <v/>
      </c>
      <c r="C10" s="71"/>
      <c r="D10" s="71"/>
      <c r="E10" s="66" t="s">
        <v>179</v>
      </c>
      <c r="F10" s="66" t="s">
        <v>179</v>
      </c>
      <c r="G10" s="66" t="s">
        <v>179</v>
      </c>
      <c r="H10" s="66" t="s">
        <v>179</v>
      </c>
      <c r="I10" s="66" t="s">
        <v>179</v>
      </c>
      <c r="J10" s="66" t="s">
        <v>179</v>
      </c>
      <c r="K10" s="66" t="s">
        <v>179</v>
      </c>
      <c r="L10" s="66" t="s">
        <v>179</v>
      </c>
      <c r="M10" s="66" t="s">
        <v>179</v>
      </c>
      <c r="N10" s="70" t="s">
        <v>179</v>
      </c>
      <c r="O10" s="66" t="s">
        <v>179</v>
      </c>
      <c r="P10" s="66" t="s">
        <v>179</v>
      </c>
      <c r="Q10" s="66" t="str">
        <f>IF(SUM(ج_ح_فروردین28[[#This Row],[فروردین]:[اسفند]])&gt;0,SUM(ج_ح_فروردین28[[#This Row],[فروردین]:[اسفند]]),"")</f>
        <v/>
      </c>
    </row>
    <row r="11" spans="2:17" ht="32.1" customHeight="1">
      <c r="B11" s="65" t="str">
        <f>IF(ج_ح_فروردین28[[#This Row],[نام]]&lt;&gt;"",ROW()-7+1,"")</f>
        <v/>
      </c>
      <c r="C11" s="71"/>
      <c r="D11" s="71"/>
      <c r="E11" s="66" t="s">
        <v>179</v>
      </c>
      <c r="F11" s="66" t="s">
        <v>179</v>
      </c>
      <c r="G11" s="66" t="s">
        <v>179</v>
      </c>
      <c r="H11" s="66" t="s">
        <v>179</v>
      </c>
      <c r="I11" s="66" t="s">
        <v>179</v>
      </c>
      <c r="J11" s="66" t="s">
        <v>179</v>
      </c>
      <c r="K11" s="66" t="s">
        <v>179</v>
      </c>
      <c r="L11" s="66" t="s">
        <v>179</v>
      </c>
      <c r="M11" s="66" t="s">
        <v>179</v>
      </c>
      <c r="N11" s="70" t="s">
        <v>179</v>
      </c>
      <c r="O11" s="66" t="s">
        <v>179</v>
      </c>
      <c r="P11" s="66" t="s">
        <v>179</v>
      </c>
      <c r="Q11" s="66" t="str">
        <f>IF(SUM(ج_ح_فروردین28[[#This Row],[فروردین]:[اسفند]])&gt;0,SUM(ج_ح_فروردین28[[#This Row],[فروردین]:[اسفند]]),"")</f>
        <v/>
      </c>
    </row>
    <row r="12" spans="2:17" ht="32.1" customHeight="1">
      <c r="B12" s="65" t="str">
        <f>IF(ج_ح_فروردین28[[#This Row],[نام]]&lt;&gt;"",ROW()-7+1,"")</f>
        <v/>
      </c>
      <c r="C12" s="71"/>
      <c r="D12" s="71"/>
      <c r="E12" s="66" t="s">
        <v>179</v>
      </c>
      <c r="F12" s="66" t="s">
        <v>179</v>
      </c>
      <c r="G12" s="66" t="s">
        <v>179</v>
      </c>
      <c r="H12" s="66" t="s">
        <v>179</v>
      </c>
      <c r="I12" s="66" t="s">
        <v>179</v>
      </c>
      <c r="J12" s="66" t="s">
        <v>179</v>
      </c>
      <c r="K12" s="66" t="s">
        <v>179</v>
      </c>
      <c r="L12" s="66" t="s">
        <v>179</v>
      </c>
      <c r="M12" s="66" t="s">
        <v>179</v>
      </c>
      <c r="N12" s="70" t="s">
        <v>179</v>
      </c>
      <c r="O12" s="66" t="s">
        <v>179</v>
      </c>
      <c r="P12" s="66" t="s">
        <v>179</v>
      </c>
      <c r="Q12" s="66" t="str">
        <f>IF(SUM(ج_ح_فروردین28[[#This Row],[فروردین]:[اسفند]])&gt;0,SUM(ج_ح_فروردین28[[#This Row],[فروردین]:[اسفند]]),"")</f>
        <v/>
      </c>
    </row>
    <row r="13" spans="2:17" ht="32.1" customHeight="1">
      <c r="B13" s="65" t="str">
        <f>IF(ج_ح_فروردین28[[#This Row],[نام]]&lt;&gt;"",ROW()-7+1,"")</f>
        <v/>
      </c>
      <c r="C13" s="71"/>
      <c r="D13" s="71"/>
      <c r="E13" s="66" t="s">
        <v>179</v>
      </c>
      <c r="F13" s="66" t="s">
        <v>179</v>
      </c>
      <c r="G13" s="66" t="s">
        <v>179</v>
      </c>
      <c r="H13" s="66" t="s">
        <v>179</v>
      </c>
      <c r="I13" s="66" t="s">
        <v>179</v>
      </c>
      <c r="J13" s="66" t="s">
        <v>179</v>
      </c>
      <c r="K13" s="66" t="s">
        <v>179</v>
      </c>
      <c r="L13" s="66" t="s">
        <v>179</v>
      </c>
      <c r="M13" s="66" t="s">
        <v>179</v>
      </c>
      <c r="N13" s="70" t="s">
        <v>179</v>
      </c>
      <c r="O13" s="66" t="s">
        <v>179</v>
      </c>
      <c r="P13" s="66" t="s">
        <v>179</v>
      </c>
      <c r="Q13" s="66" t="str">
        <f>IF(SUM(ج_ح_فروردین28[[#This Row],[فروردین]:[اسفند]])&gt;0,SUM(ج_ح_فروردین28[[#This Row],[فروردین]:[اسفند]]),"")</f>
        <v/>
      </c>
    </row>
    <row r="14" spans="2:17" ht="32.1" customHeight="1">
      <c r="B14" s="65" t="str">
        <f>IF(ج_ح_فروردین28[[#This Row],[نام]]&lt;&gt;"",ROW()-7+1,"")</f>
        <v/>
      </c>
      <c r="C14" s="71"/>
      <c r="D14" s="71"/>
      <c r="E14" s="66" t="s">
        <v>179</v>
      </c>
      <c r="F14" s="66" t="s">
        <v>179</v>
      </c>
      <c r="G14" s="66" t="s">
        <v>179</v>
      </c>
      <c r="H14" s="66" t="s">
        <v>179</v>
      </c>
      <c r="I14" s="66" t="s">
        <v>179</v>
      </c>
      <c r="J14" s="66" t="s">
        <v>179</v>
      </c>
      <c r="K14" s="66" t="s">
        <v>179</v>
      </c>
      <c r="L14" s="66" t="s">
        <v>179</v>
      </c>
      <c r="M14" s="66" t="s">
        <v>179</v>
      </c>
      <c r="N14" s="70" t="s">
        <v>179</v>
      </c>
      <c r="O14" s="66" t="s">
        <v>179</v>
      </c>
      <c r="P14" s="66" t="s">
        <v>179</v>
      </c>
      <c r="Q14" s="66" t="str">
        <f>IF(SUM(ج_ح_فروردین28[[#This Row],[فروردین]:[اسفند]])&gt;0,SUM(ج_ح_فروردین28[[#This Row],[فروردین]:[اسفند]]),"")</f>
        <v/>
      </c>
    </row>
    <row r="15" spans="2:17" ht="32.1" customHeight="1">
      <c r="B15" s="65" t="str">
        <f>IF(ج_ح_فروردین28[[#This Row],[نام]]&lt;&gt;"",ROW()-7+1,"")</f>
        <v/>
      </c>
      <c r="C15" s="71"/>
      <c r="D15" s="71"/>
      <c r="E15" s="66" t="s">
        <v>179</v>
      </c>
      <c r="F15" s="66" t="s">
        <v>179</v>
      </c>
      <c r="G15" s="66" t="s">
        <v>179</v>
      </c>
      <c r="H15" s="66" t="s">
        <v>179</v>
      </c>
      <c r="I15" s="66" t="s">
        <v>179</v>
      </c>
      <c r="J15" s="66" t="s">
        <v>179</v>
      </c>
      <c r="K15" s="66" t="s">
        <v>179</v>
      </c>
      <c r="L15" s="66" t="s">
        <v>179</v>
      </c>
      <c r="M15" s="66" t="s">
        <v>179</v>
      </c>
      <c r="N15" s="70" t="s">
        <v>179</v>
      </c>
      <c r="O15" s="66" t="s">
        <v>179</v>
      </c>
      <c r="P15" s="66" t="s">
        <v>179</v>
      </c>
      <c r="Q15" s="66" t="str">
        <f>IF(SUM(ج_ح_فروردین28[[#This Row],[فروردین]:[اسفند]])&gt;0,SUM(ج_ح_فروردین28[[#This Row],[فروردین]:[اسفند]]),"")</f>
        <v/>
      </c>
    </row>
    <row r="16" spans="2:17" ht="32.1" customHeight="1">
      <c r="B16" s="65" t="str">
        <f>IF(ج_ح_فروردین28[[#This Row],[نام]]&lt;&gt;"",ROW()-7+1,"")</f>
        <v/>
      </c>
      <c r="C16" s="71"/>
      <c r="D16" s="71"/>
      <c r="E16" s="66" t="s">
        <v>179</v>
      </c>
      <c r="F16" s="66" t="s">
        <v>179</v>
      </c>
      <c r="G16" s="66" t="s">
        <v>179</v>
      </c>
      <c r="H16" s="66" t="s">
        <v>179</v>
      </c>
      <c r="I16" s="66" t="s">
        <v>179</v>
      </c>
      <c r="J16" s="66" t="s">
        <v>179</v>
      </c>
      <c r="K16" s="66" t="s">
        <v>179</v>
      </c>
      <c r="L16" s="66" t="s">
        <v>179</v>
      </c>
      <c r="M16" s="66" t="s">
        <v>179</v>
      </c>
      <c r="N16" s="70" t="s">
        <v>179</v>
      </c>
      <c r="O16" s="66" t="s">
        <v>179</v>
      </c>
      <c r="P16" s="66" t="s">
        <v>179</v>
      </c>
      <c r="Q16" s="66" t="str">
        <f>IF(SUM(ج_ح_فروردین28[[#This Row],[فروردین]:[اسفند]])&gt;0,SUM(ج_ح_فروردین28[[#This Row],[فروردین]:[اسفند]]),"")</f>
        <v/>
      </c>
    </row>
    <row r="17" spans="2:17" ht="32.1" customHeight="1">
      <c r="B17" s="65" t="str">
        <f>IF(ج_ح_فروردین28[[#This Row],[نام]]&lt;&gt;"",ROW()-7+1,"")</f>
        <v/>
      </c>
      <c r="C17" s="71"/>
      <c r="D17" s="71"/>
      <c r="E17" s="66" t="s">
        <v>179</v>
      </c>
      <c r="F17" s="66" t="s">
        <v>179</v>
      </c>
      <c r="G17" s="66" t="s">
        <v>179</v>
      </c>
      <c r="H17" s="66" t="s">
        <v>179</v>
      </c>
      <c r="I17" s="66" t="s">
        <v>179</v>
      </c>
      <c r="J17" s="66" t="s">
        <v>179</v>
      </c>
      <c r="K17" s="66" t="s">
        <v>179</v>
      </c>
      <c r="L17" s="66" t="s">
        <v>179</v>
      </c>
      <c r="M17" s="66" t="s">
        <v>179</v>
      </c>
      <c r="N17" s="70" t="s">
        <v>179</v>
      </c>
      <c r="O17" s="66" t="s">
        <v>179</v>
      </c>
      <c r="P17" s="66" t="s">
        <v>179</v>
      </c>
      <c r="Q17" s="66" t="str">
        <f>IF(SUM(ج_ح_فروردین28[[#This Row],[فروردین]:[اسفند]])&gt;0,SUM(ج_ح_فروردین28[[#This Row],[فروردین]:[اسفند]]),"")</f>
        <v/>
      </c>
    </row>
    <row r="18" spans="2:17" ht="32.1" customHeight="1">
      <c r="B18" s="65" t="str">
        <f>IF(ج_ح_فروردین28[[#This Row],[نام]]&lt;&gt;"",ROW()-7+1,"")</f>
        <v/>
      </c>
      <c r="C18" s="71"/>
      <c r="D18" s="71"/>
      <c r="E18" s="66" t="s">
        <v>179</v>
      </c>
      <c r="F18" s="66" t="s">
        <v>179</v>
      </c>
      <c r="G18" s="66" t="s">
        <v>179</v>
      </c>
      <c r="H18" s="66" t="s">
        <v>179</v>
      </c>
      <c r="I18" s="66" t="s">
        <v>179</v>
      </c>
      <c r="J18" s="66" t="s">
        <v>179</v>
      </c>
      <c r="K18" s="66" t="s">
        <v>179</v>
      </c>
      <c r="L18" s="66" t="s">
        <v>179</v>
      </c>
      <c r="M18" s="66" t="s">
        <v>179</v>
      </c>
      <c r="N18" s="70" t="s">
        <v>179</v>
      </c>
      <c r="O18" s="66" t="s">
        <v>179</v>
      </c>
      <c r="P18" s="66" t="s">
        <v>179</v>
      </c>
      <c r="Q18" s="66" t="str">
        <f>IF(SUM(ج_ح_فروردین28[[#This Row],[فروردین]:[اسفند]])&gt;0,SUM(ج_ح_فروردین28[[#This Row],[فروردین]:[اسفند]]),"")</f>
        <v/>
      </c>
    </row>
    <row r="19" spans="2:17" ht="32.1" customHeight="1">
      <c r="B19" s="65" t="str">
        <f>IF(ج_ح_فروردین28[[#This Row],[نام]]&lt;&gt;"",ROW()-7+1,"")</f>
        <v/>
      </c>
      <c r="C19" s="71"/>
      <c r="D19" s="71"/>
      <c r="E19" s="66" t="s">
        <v>179</v>
      </c>
      <c r="F19" s="66" t="s">
        <v>179</v>
      </c>
      <c r="G19" s="66" t="s">
        <v>179</v>
      </c>
      <c r="H19" s="66" t="s">
        <v>179</v>
      </c>
      <c r="I19" s="66" t="s">
        <v>179</v>
      </c>
      <c r="J19" s="66" t="s">
        <v>179</v>
      </c>
      <c r="K19" s="66" t="s">
        <v>179</v>
      </c>
      <c r="L19" s="66" t="s">
        <v>179</v>
      </c>
      <c r="M19" s="66" t="s">
        <v>179</v>
      </c>
      <c r="N19" s="70" t="s">
        <v>179</v>
      </c>
      <c r="O19" s="66" t="s">
        <v>179</v>
      </c>
      <c r="P19" s="66" t="s">
        <v>179</v>
      </c>
      <c r="Q19" s="66" t="str">
        <f>IF(SUM(ج_ح_فروردین28[[#This Row],[فروردین]:[اسفند]])&gt;0,SUM(ج_ح_فروردین28[[#This Row],[فروردین]:[اسفند]]),"")</f>
        <v/>
      </c>
    </row>
    <row r="20" spans="2:17" ht="32.1" customHeight="1">
      <c r="B20" s="65" t="str">
        <f>IF(ج_ح_فروردین28[[#This Row],[نام]]&lt;&gt;"",ROW()-7+1,"")</f>
        <v/>
      </c>
      <c r="C20" s="71"/>
      <c r="D20" s="71"/>
      <c r="E20" s="66" t="s">
        <v>179</v>
      </c>
      <c r="F20" s="66" t="s">
        <v>179</v>
      </c>
      <c r="G20" s="66" t="s">
        <v>179</v>
      </c>
      <c r="H20" s="66" t="s">
        <v>179</v>
      </c>
      <c r="I20" s="66" t="s">
        <v>179</v>
      </c>
      <c r="J20" s="66" t="s">
        <v>179</v>
      </c>
      <c r="K20" s="66" t="s">
        <v>179</v>
      </c>
      <c r="L20" s="66" t="s">
        <v>179</v>
      </c>
      <c r="M20" s="66" t="s">
        <v>179</v>
      </c>
      <c r="N20" s="70" t="s">
        <v>179</v>
      </c>
      <c r="O20" s="66" t="s">
        <v>179</v>
      </c>
      <c r="P20" s="66" t="s">
        <v>179</v>
      </c>
      <c r="Q20" s="66" t="str">
        <f>IF(SUM(ج_ح_فروردین28[[#This Row],[فروردین]:[اسفند]])&gt;0,SUM(ج_ح_فروردین28[[#This Row],[فروردین]:[اسفند]]),"")</f>
        <v/>
      </c>
    </row>
    <row r="21" spans="2:17" ht="32.1" customHeight="1">
      <c r="B21" s="65" t="str">
        <f>IF(ج_ح_فروردین28[[#This Row],[نام]]&lt;&gt;"",ROW()-7+1,"")</f>
        <v/>
      </c>
      <c r="C21" s="71"/>
      <c r="D21" s="71"/>
      <c r="E21" s="66" t="s">
        <v>179</v>
      </c>
      <c r="F21" s="66" t="s">
        <v>179</v>
      </c>
      <c r="G21" s="66" t="s">
        <v>179</v>
      </c>
      <c r="H21" s="66" t="s">
        <v>179</v>
      </c>
      <c r="I21" s="66" t="s">
        <v>179</v>
      </c>
      <c r="J21" s="66" t="s">
        <v>179</v>
      </c>
      <c r="K21" s="66" t="s">
        <v>179</v>
      </c>
      <c r="L21" s="66" t="s">
        <v>179</v>
      </c>
      <c r="M21" s="66" t="s">
        <v>179</v>
      </c>
      <c r="N21" s="70" t="s">
        <v>179</v>
      </c>
      <c r="O21" s="66" t="s">
        <v>179</v>
      </c>
      <c r="P21" s="66" t="s">
        <v>179</v>
      </c>
      <c r="Q21" s="66" t="str">
        <f>IF(SUM(ج_ح_فروردین28[[#This Row],[فروردین]:[اسفند]])&gt;0,SUM(ج_ح_فروردین28[[#This Row],[فروردین]:[اسفند]]),"")</f>
        <v/>
      </c>
    </row>
    <row r="22" spans="2:17" ht="32.1" customHeight="1">
      <c r="B22" s="65" t="str">
        <f>IF(ج_ح_فروردین28[[#This Row],[نام]]&lt;&gt;"",ROW()-7+1,"")</f>
        <v/>
      </c>
      <c r="C22" s="71"/>
      <c r="D22" s="71"/>
      <c r="E22" s="66" t="s">
        <v>179</v>
      </c>
      <c r="F22" s="66" t="s">
        <v>179</v>
      </c>
      <c r="G22" s="66" t="s">
        <v>179</v>
      </c>
      <c r="H22" s="66" t="s">
        <v>179</v>
      </c>
      <c r="I22" s="66" t="s">
        <v>179</v>
      </c>
      <c r="J22" s="66" t="s">
        <v>179</v>
      </c>
      <c r="K22" s="66" t="s">
        <v>179</v>
      </c>
      <c r="L22" s="66" t="s">
        <v>179</v>
      </c>
      <c r="M22" s="66" t="s">
        <v>179</v>
      </c>
      <c r="N22" s="70" t="s">
        <v>179</v>
      </c>
      <c r="O22" s="66" t="s">
        <v>179</v>
      </c>
      <c r="P22" s="66" t="s">
        <v>179</v>
      </c>
      <c r="Q22" s="66" t="str">
        <f>IF(SUM(ج_ح_فروردین28[[#This Row],[فروردین]:[اسفند]])&gt;0,SUM(ج_ح_فروردین28[[#This Row],[فروردین]:[اسفند]]),"")</f>
        <v/>
      </c>
    </row>
    <row r="23" spans="2:17" ht="32.1" customHeight="1">
      <c r="B23" s="65" t="str">
        <f>IF(ج_ح_فروردین28[[#This Row],[نام]]&lt;&gt;"",ROW()-7+1,"")</f>
        <v/>
      </c>
      <c r="C23" s="71"/>
      <c r="D23" s="71"/>
      <c r="E23" s="66" t="s">
        <v>179</v>
      </c>
      <c r="F23" s="66" t="s">
        <v>179</v>
      </c>
      <c r="G23" s="66" t="s">
        <v>179</v>
      </c>
      <c r="H23" s="66" t="s">
        <v>179</v>
      </c>
      <c r="I23" s="66" t="s">
        <v>179</v>
      </c>
      <c r="J23" s="66" t="s">
        <v>179</v>
      </c>
      <c r="K23" s="66" t="s">
        <v>179</v>
      </c>
      <c r="L23" s="66" t="s">
        <v>179</v>
      </c>
      <c r="M23" s="66" t="s">
        <v>179</v>
      </c>
      <c r="N23" s="70" t="s">
        <v>179</v>
      </c>
      <c r="O23" s="66" t="s">
        <v>179</v>
      </c>
      <c r="P23" s="66" t="s">
        <v>179</v>
      </c>
      <c r="Q23" s="66" t="str">
        <f>IF(SUM(ج_ح_فروردین28[[#This Row],[فروردین]:[اسفند]])&gt;0,SUM(ج_ح_فروردین28[[#This Row],[فروردین]:[اسفند]]),"")</f>
        <v/>
      </c>
    </row>
    <row r="24" spans="2:17" ht="32.1" customHeight="1">
      <c r="B24" s="65" t="str">
        <f>IF(ج_ح_فروردین28[[#This Row],[نام]]&lt;&gt;"",ROW()-7+1,"")</f>
        <v/>
      </c>
      <c r="C24" s="71"/>
      <c r="D24" s="71"/>
      <c r="E24" s="66" t="s">
        <v>179</v>
      </c>
      <c r="F24" s="66" t="s">
        <v>179</v>
      </c>
      <c r="G24" s="66" t="s">
        <v>179</v>
      </c>
      <c r="H24" s="66" t="s">
        <v>179</v>
      </c>
      <c r="I24" s="66" t="s">
        <v>179</v>
      </c>
      <c r="J24" s="66" t="s">
        <v>179</v>
      </c>
      <c r="K24" s="66" t="s">
        <v>179</v>
      </c>
      <c r="L24" s="66" t="s">
        <v>179</v>
      </c>
      <c r="M24" s="66" t="s">
        <v>179</v>
      </c>
      <c r="N24" s="70" t="s">
        <v>179</v>
      </c>
      <c r="O24" s="66" t="s">
        <v>179</v>
      </c>
      <c r="P24" s="66" t="s">
        <v>179</v>
      </c>
      <c r="Q24" s="66" t="str">
        <f>IF(SUM(ج_ح_فروردین28[[#This Row],[فروردین]:[اسفند]])&gt;0,SUM(ج_ح_فروردین28[[#This Row],[فروردین]:[اسفند]]),"")</f>
        <v/>
      </c>
    </row>
    <row r="25" spans="2:17" ht="32.1" customHeight="1">
      <c r="B25" s="65" t="str">
        <f>IF(ج_ح_فروردین28[[#This Row],[نام]]&lt;&gt;"",ROW()-7+1,"")</f>
        <v/>
      </c>
      <c r="C25" s="71"/>
      <c r="D25" s="71"/>
      <c r="E25" s="66" t="s">
        <v>179</v>
      </c>
      <c r="F25" s="66" t="s">
        <v>179</v>
      </c>
      <c r="G25" s="66" t="s">
        <v>179</v>
      </c>
      <c r="H25" s="66" t="s">
        <v>179</v>
      </c>
      <c r="I25" s="66" t="s">
        <v>179</v>
      </c>
      <c r="J25" s="66" t="s">
        <v>179</v>
      </c>
      <c r="K25" s="66" t="s">
        <v>179</v>
      </c>
      <c r="L25" s="66" t="s">
        <v>179</v>
      </c>
      <c r="M25" s="66" t="s">
        <v>179</v>
      </c>
      <c r="N25" s="70" t="s">
        <v>179</v>
      </c>
      <c r="O25" s="66" t="s">
        <v>179</v>
      </c>
      <c r="P25" s="66" t="s">
        <v>179</v>
      </c>
      <c r="Q25" s="66" t="str">
        <f>IF(SUM(ج_ح_فروردین28[[#This Row],[فروردین]:[اسفند]])&gt;0,SUM(ج_ح_فروردین28[[#This Row],[فروردین]:[اسفند]]),"")</f>
        <v/>
      </c>
    </row>
    <row r="26" spans="2:17" ht="32.1" customHeight="1">
      <c r="B26" s="65" t="str">
        <f>IF(ج_ح_فروردین28[[#This Row],[نام]]&lt;&gt;"",ROW()-7+1,"")</f>
        <v/>
      </c>
      <c r="C26" s="71"/>
      <c r="D26" s="71"/>
      <c r="E26" s="66" t="s">
        <v>179</v>
      </c>
      <c r="F26" s="66" t="s">
        <v>179</v>
      </c>
      <c r="G26" s="66" t="s">
        <v>179</v>
      </c>
      <c r="H26" s="66" t="s">
        <v>179</v>
      </c>
      <c r="I26" s="66"/>
      <c r="J26" s="66" t="s">
        <v>179</v>
      </c>
      <c r="K26" s="66" t="s">
        <v>179</v>
      </c>
      <c r="L26" s="66" t="s">
        <v>179</v>
      </c>
      <c r="M26" s="66" t="s">
        <v>179</v>
      </c>
      <c r="N26" s="70" t="s">
        <v>179</v>
      </c>
      <c r="O26" s="66" t="s">
        <v>179</v>
      </c>
      <c r="P26" s="66" t="s">
        <v>179</v>
      </c>
      <c r="Q26" s="66" t="str">
        <f>IF(SUM(ج_ح_فروردین28[[#This Row],[فروردین]:[اسفند]])&gt;0,SUM(ج_ح_فروردین28[[#This Row],[فروردین]:[اسفند]]),"")</f>
        <v/>
      </c>
    </row>
    <row r="27" spans="2:17" ht="32.1" customHeight="1">
      <c r="B27" s="65" t="str">
        <f>IF(ج_ح_فروردین28[[#This Row],[نام]]&lt;&gt;"",ROW()-7+1,"")</f>
        <v/>
      </c>
      <c r="C27" s="71"/>
      <c r="D27" s="71"/>
      <c r="E27" s="66" t="s">
        <v>179</v>
      </c>
      <c r="F27" s="66" t="s">
        <v>179</v>
      </c>
      <c r="G27" s="66" t="s">
        <v>179</v>
      </c>
      <c r="H27" s="66"/>
      <c r="I27" s="66" t="s">
        <v>179</v>
      </c>
      <c r="J27" s="66" t="s">
        <v>179</v>
      </c>
      <c r="K27" s="66" t="s">
        <v>179</v>
      </c>
      <c r="L27" s="66" t="s">
        <v>179</v>
      </c>
      <c r="M27" s="66" t="s">
        <v>179</v>
      </c>
      <c r="N27" s="70" t="s">
        <v>179</v>
      </c>
      <c r="O27" s="66" t="s">
        <v>179</v>
      </c>
      <c r="P27" s="66" t="s">
        <v>179</v>
      </c>
      <c r="Q27" s="66" t="str">
        <f>IF(SUM(ج_ح_فروردین28[[#This Row],[فروردین]:[اسفند]])&gt;0,SUM(ج_ح_فروردین28[[#This Row],[فروردین]:[اسفند]]),"")</f>
        <v/>
      </c>
    </row>
    <row r="28" spans="2:17" ht="32.1" customHeight="1">
      <c r="B28" s="65" t="str">
        <f>IF(ج_ح_فروردین28[[#This Row],[نام]]&lt;&gt;"",ROW()-7+1,"")</f>
        <v/>
      </c>
      <c r="C28" s="71"/>
      <c r="D28" s="71"/>
      <c r="E28" s="66" t="s">
        <v>179</v>
      </c>
      <c r="F28" s="66" t="s">
        <v>179</v>
      </c>
      <c r="G28" s="66" t="s">
        <v>179</v>
      </c>
      <c r="H28" s="66" t="s">
        <v>179</v>
      </c>
      <c r="I28" s="66" t="s">
        <v>179</v>
      </c>
      <c r="J28" s="66" t="s">
        <v>179</v>
      </c>
      <c r="K28" s="66" t="s">
        <v>179</v>
      </c>
      <c r="L28" s="66" t="s">
        <v>179</v>
      </c>
      <c r="M28" s="66" t="s">
        <v>179</v>
      </c>
      <c r="N28" s="70" t="s">
        <v>179</v>
      </c>
      <c r="O28" s="66" t="s">
        <v>179</v>
      </c>
      <c r="P28" s="66" t="s">
        <v>179</v>
      </c>
      <c r="Q28" s="66" t="str">
        <f>IF(SUM(ج_ح_فروردین28[[#This Row],[فروردین]:[اسفند]])&gt;0,SUM(ج_ح_فروردین28[[#This Row],[فروردین]:[اسفند]]),"")</f>
        <v/>
      </c>
    </row>
    <row r="29" spans="2:17" ht="32.1" customHeight="1">
      <c r="B29" s="65" t="str">
        <f>IF(ج_ح_فروردین28[[#This Row],[نام]]&lt;&gt;"",ROW()-7+1,"")</f>
        <v/>
      </c>
      <c r="C29" s="71"/>
      <c r="D29" s="71"/>
      <c r="E29" s="66" t="s">
        <v>179</v>
      </c>
      <c r="F29" s="66" t="s">
        <v>179</v>
      </c>
      <c r="G29" s="66" t="s">
        <v>179</v>
      </c>
      <c r="H29" s="66" t="s">
        <v>179</v>
      </c>
      <c r="I29" s="66" t="s">
        <v>179</v>
      </c>
      <c r="J29" s="66" t="s">
        <v>179</v>
      </c>
      <c r="K29" s="66" t="s">
        <v>179</v>
      </c>
      <c r="L29" s="66" t="s">
        <v>179</v>
      </c>
      <c r="M29" s="66" t="s">
        <v>179</v>
      </c>
      <c r="N29" s="70" t="s">
        <v>179</v>
      </c>
      <c r="O29" s="66" t="s">
        <v>179</v>
      </c>
      <c r="P29" s="66" t="s">
        <v>179</v>
      </c>
      <c r="Q29" s="66" t="str">
        <f>IF(SUM(ج_ح_فروردین28[[#This Row],[فروردین]:[اسفند]])&gt;0,SUM(ج_ح_فروردین28[[#This Row],[فروردین]:[اسفند]]),"")</f>
        <v/>
      </c>
    </row>
    <row r="30" spans="2:17" ht="32.1" customHeight="1">
      <c r="B30" s="65" t="str">
        <f>IF(ج_ح_فروردین28[[#This Row],[نام]]&lt;&gt;"",ROW()-7+1,"")</f>
        <v/>
      </c>
      <c r="C30" s="71"/>
      <c r="D30" s="71"/>
      <c r="E30" s="66" t="s">
        <v>179</v>
      </c>
      <c r="F30" s="66" t="s">
        <v>179</v>
      </c>
      <c r="G30" s="66" t="s">
        <v>179</v>
      </c>
      <c r="H30" s="66" t="s">
        <v>179</v>
      </c>
      <c r="I30" s="66" t="s">
        <v>179</v>
      </c>
      <c r="J30" s="66" t="s">
        <v>179</v>
      </c>
      <c r="K30" s="66" t="s">
        <v>179</v>
      </c>
      <c r="L30" s="66" t="s">
        <v>179</v>
      </c>
      <c r="M30" s="66" t="s">
        <v>179</v>
      </c>
      <c r="N30" s="70" t="s">
        <v>179</v>
      </c>
      <c r="O30" s="66" t="s">
        <v>179</v>
      </c>
      <c r="P30" s="66" t="s">
        <v>179</v>
      </c>
      <c r="Q30" s="66" t="str">
        <f>IF(SUM(ج_ح_فروردین28[[#This Row],[فروردین]:[اسفند]])&gt;0,SUM(ج_ح_فروردین28[[#This Row],[فروردین]:[اسفند]]),"")</f>
        <v/>
      </c>
    </row>
    <row r="31" spans="2:17" ht="32.1" customHeight="1">
      <c r="B31" s="65" t="str">
        <f>IF(ج_ح_فروردین28[[#This Row],[نام]]&lt;&gt;"",ROW()-7+1,"")</f>
        <v/>
      </c>
      <c r="C31" s="71"/>
      <c r="D31" s="71"/>
      <c r="E31" s="66" t="s">
        <v>179</v>
      </c>
      <c r="F31" s="66" t="s">
        <v>179</v>
      </c>
      <c r="G31" s="66" t="s">
        <v>179</v>
      </c>
      <c r="H31" s="66" t="s">
        <v>179</v>
      </c>
      <c r="I31" s="66" t="s">
        <v>179</v>
      </c>
      <c r="J31" s="66" t="s">
        <v>179</v>
      </c>
      <c r="K31" s="66" t="s">
        <v>179</v>
      </c>
      <c r="L31" s="66" t="s">
        <v>179</v>
      </c>
      <c r="M31" s="66" t="s">
        <v>179</v>
      </c>
      <c r="N31" s="70" t="s">
        <v>179</v>
      </c>
      <c r="O31" s="66" t="s">
        <v>179</v>
      </c>
      <c r="P31" s="66" t="s">
        <v>179</v>
      </c>
      <c r="Q31" s="66" t="str">
        <f>IF(SUM(ج_ح_فروردین28[[#This Row],[فروردین]:[اسفند]])&gt;0,SUM(ج_ح_فروردین28[[#This Row],[فروردین]:[اسفند]]),"")</f>
        <v/>
      </c>
    </row>
    <row r="32" spans="2:17" ht="32.1" customHeight="1">
      <c r="B32" s="65" t="str">
        <f>IF(ج_ح_فروردین28[[#This Row],[نام]]&lt;&gt;"",ROW()-7+1,"")</f>
        <v/>
      </c>
      <c r="C32" s="71"/>
      <c r="D32" s="71"/>
      <c r="E32" s="66" t="s">
        <v>179</v>
      </c>
      <c r="F32" s="66" t="s">
        <v>179</v>
      </c>
      <c r="G32" s="66" t="s">
        <v>179</v>
      </c>
      <c r="H32" s="66" t="s">
        <v>179</v>
      </c>
      <c r="I32" s="66" t="s">
        <v>179</v>
      </c>
      <c r="J32" s="66" t="s">
        <v>179</v>
      </c>
      <c r="K32" s="66" t="s">
        <v>179</v>
      </c>
      <c r="L32" s="66" t="s">
        <v>179</v>
      </c>
      <c r="M32" s="66" t="s">
        <v>179</v>
      </c>
      <c r="N32" s="70" t="s">
        <v>179</v>
      </c>
      <c r="O32" s="66" t="s">
        <v>179</v>
      </c>
      <c r="P32" s="66" t="s">
        <v>179</v>
      </c>
      <c r="Q32" s="66" t="str">
        <f>IF(SUM(ج_ح_فروردین28[[#This Row],[فروردین]:[اسفند]])&gt;0,SUM(ج_ح_فروردین28[[#This Row],[فروردین]:[اسفند]]),"")</f>
        <v/>
      </c>
    </row>
    <row r="33" spans="2:17" ht="32.1" customHeight="1">
      <c r="B33" s="65" t="str">
        <f>IF(ج_ح_فروردین28[[#This Row],[نام]]&lt;&gt;"",ROW()-7+1,"")</f>
        <v/>
      </c>
      <c r="C33" s="71"/>
      <c r="D33" s="71"/>
      <c r="E33" s="66" t="s">
        <v>179</v>
      </c>
      <c r="F33" s="66" t="s">
        <v>179</v>
      </c>
      <c r="G33" s="66" t="s">
        <v>179</v>
      </c>
      <c r="H33" s="66" t="s">
        <v>179</v>
      </c>
      <c r="I33" s="66" t="s">
        <v>179</v>
      </c>
      <c r="J33" s="66" t="s">
        <v>179</v>
      </c>
      <c r="K33" s="66" t="s">
        <v>179</v>
      </c>
      <c r="L33" s="66" t="s">
        <v>179</v>
      </c>
      <c r="M33" s="66" t="s">
        <v>179</v>
      </c>
      <c r="N33" s="70" t="s">
        <v>179</v>
      </c>
      <c r="O33" s="66" t="s">
        <v>179</v>
      </c>
      <c r="P33" s="66" t="s">
        <v>179</v>
      </c>
      <c r="Q33" s="66" t="str">
        <f>IF(SUM(ج_ح_فروردین28[[#This Row],[فروردین]:[اسفند]])&gt;0,SUM(ج_ح_فروردین28[[#This Row],[فروردین]:[اسفند]]),"")</f>
        <v/>
      </c>
    </row>
    <row r="34" spans="2:17" ht="32.1" customHeight="1">
      <c r="B34" s="65" t="str">
        <f>IF(ج_ح_فروردین28[[#This Row],[نام]]&lt;&gt;"",ROW()-7+1,"")</f>
        <v/>
      </c>
      <c r="C34" s="71"/>
      <c r="D34" s="71"/>
      <c r="E34" s="66" t="s">
        <v>179</v>
      </c>
      <c r="F34" s="66" t="s">
        <v>179</v>
      </c>
      <c r="G34" s="66" t="s">
        <v>179</v>
      </c>
      <c r="H34" s="66" t="s">
        <v>179</v>
      </c>
      <c r="I34" s="66" t="s">
        <v>179</v>
      </c>
      <c r="J34" s="66" t="s">
        <v>179</v>
      </c>
      <c r="K34" s="66" t="s">
        <v>179</v>
      </c>
      <c r="L34" s="66" t="s">
        <v>179</v>
      </c>
      <c r="M34" s="66" t="s">
        <v>179</v>
      </c>
      <c r="N34" s="70" t="s">
        <v>179</v>
      </c>
      <c r="O34" s="66" t="s">
        <v>179</v>
      </c>
      <c r="P34" s="66" t="s">
        <v>179</v>
      </c>
      <c r="Q34" s="66" t="str">
        <f>IF(SUM(ج_ح_فروردین28[[#This Row],[فروردین]:[اسفند]])&gt;0,SUM(ج_ح_فروردین28[[#This Row],[فروردین]:[اسفند]]),"")</f>
        <v/>
      </c>
    </row>
    <row r="35" spans="2:17" ht="32.1" customHeight="1">
      <c r="B35" s="65" t="str">
        <f>IF(ج_ح_فروردین28[[#This Row],[نام]]&lt;&gt;"",ROW()-7+1,"")</f>
        <v/>
      </c>
      <c r="C35" s="71"/>
      <c r="D35" s="71"/>
      <c r="E35" s="66" t="s">
        <v>179</v>
      </c>
      <c r="F35" s="66" t="s">
        <v>179</v>
      </c>
      <c r="G35" s="66" t="s">
        <v>179</v>
      </c>
      <c r="H35" s="66" t="s">
        <v>179</v>
      </c>
      <c r="I35" s="66" t="s">
        <v>179</v>
      </c>
      <c r="J35" s="66" t="s">
        <v>179</v>
      </c>
      <c r="K35" s="66" t="s">
        <v>179</v>
      </c>
      <c r="L35" s="66" t="s">
        <v>179</v>
      </c>
      <c r="M35" s="66" t="s">
        <v>179</v>
      </c>
      <c r="N35" s="70" t="s">
        <v>179</v>
      </c>
      <c r="O35" s="66" t="s">
        <v>179</v>
      </c>
      <c r="P35" s="66" t="s">
        <v>179</v>
      </c>
      <c r="Q35" s="66" t="str">
        <f>IF(SUM(ج_ح_فروردین28[[#This Row],[فروردین]:[اسفند]])&gt;0,SUM(ج_ح_فروردین28[[#This Row],[فروردین]:[اسفند]]),"")</f>
        <v/>
      </c>
    </row>
    <row r="36" spans="2:17" ht="32.1" customHeight="1">
      <c r="B36" s="65" t="str">
        <f>IF(ج_ح_فروردین28[[#This Row],[نام]]&lt;&gt;"",ROW()-7+1,"")</f>
        <v/>
      </c>
      <c r="C36" s="71"/>
      <c r="D36" s="71"/>
      <c r="E36" s="66" t="s">
        <v>179</v>
      </c>
      <c r="F36" s="66" t="s">
        <v>179</v>
      </c>
      <c r="G36" s="66" t="s">
        <v>179</v>
      </c>
      <c r="H36" s="66" t="s">
        <v>179</v>
      </c>
      <c r="I36" s="66" t="s">
        <v>179</v>
      </c>
      <c r="J36" s="66" t="s">
        <v>179</v>
      </c>
      <c r="K36" s="66" t="s">
        <v>179</v>
      </c>
      <c r="L36" s="66" t="s">
        <v>179</v>
      </c>
      <c r="M36" s="66" t="s">
        <v>179</v>
      </c>
      <c r="N36" s="70" t="s">
        <v>179</v>
      </c>
      <c r="O36" s="66" t="s">
        <v>179</v>
      </c>
      <c r="P36" s="66" t="s">
        <v>179</v>
      </c>
      <c r="Q36" s="66" t="str">
        <f>IF(SUM(ج_ح_فروردین28[[#This Row],[فروردین]:[اسفند]])&gt;0,SUM(ج_ح_فروردین28[[#This Row],[فروردین]:[اسفند]]),"")</f>
        <v/>
      </c>
    </row>
    <row r="37" spans="2:17" ht="32.1" customHeight="1">
      <c r="B37" s="51"/>
      <c r="C37" s="52"/>
      <c r="D37" s="52" t="s">
        <v>124</v>
      </c>
      <c r="E37" s="54">
        <f>SUBTOTAL(109,ج_ح_فروردین28[فروردین])</f>
        <v>45905495</v>
      </c>
      <c r="F37" s="54">
        <f>SUBTOTAL(109,ج_ح_فروردین28[اردیبهشت])</f>
        <v>45905495</v>
      </c>
      <c r="G37" s="54">
        <f>SUBTOTAL(109,ج_ح_فروردین28[خرداد])</f>
        <v>45905495</v>
      </c>
      <c r="H37" s="54">
        <f>SUBTOTAL(109,ج_ح_فروردین28[تیر])</f>
        <v>45905495</v>
      </c>
      <c r="I37" s="54">
        <f>SUBTOTAL(109,ج_ح_فروردین28[مرداد])</f>
        <v>45905495</v>
      </c>
      <c r="J37" s="54">
        <f>SUBTOTAL(109,ج_ح_فروردین28[شهریور])</f>
        <v>45905495</v>
      </c>
      <c r="K37" s="54">
        <f>SUBTOTAL(109,ج_ح_فروردین28[مهر])</f>
        <v>44555495</v>
      </c>
      <c r="L37" s="54">
        <f>SUBTOTAL(109,ج_ح_فروردین28[آبان])</f>
        <v>44555495</v>
      </c>
      <c r="M37" s="54">
        <f>SUBTOTAL(109,ج_ح_فروردین28[آذر])</f>
        <v>44555495</v>
      </c>
      <c r="N37" s="54">
        <f>SUBTOTAL(109,ج_ح_فروردین28[دی])</f>
        <v>44555495</v>
      </c>
      <c r="O37" s="54">
        <f>SUBTOTAL(109,ج_ح_فروردین28[بهمن])</f>
        <v>44555495</v>
      </c>
      <c r="P37" s="54">
        <f>SUBTOTAL(109,ج_ح_فروردین28[اسفند])</f>
        <v>43205495</v>
      </c>
      <c r="Q37" s="54">
        <f>SUBTOTAL(109,ج_ح_فروردین28[جمع افقی])</f>
        <v>541415940</v>
      </c>
    </row>
    <row r="38" spans="2:17" ht="8.1" customHeight="1"/>
  </sheetData>
  <sheetProtection formatCells="0" selectLockedCells="1" sort="0" autoFilter="0"/>
  <mergeCells count="18">
    <mergeCell ref="L4:L5"/>
    <mergeCell ref="M4:M5"/>
    <mergeCell ref="G4:G5"/>
    <mergeCell ref="B2:Q2"/>
    <mergeCell ref="B3:Q3"/>
    <mergeCell ref="B4:B5"/>
    <mergeCell ref="C4:C5"/>
    <mergeCell ref="D4:D5"/>
    <mergeCell ref="E4:E5"/>
    <mergeCell ref="F4:F5"/>
    <mergeCell ref="N4:N5"/>
    <mergeCell ref="O4:O5"/>
    <mergeCell ref="Q4:Q5"/>
    <mergeCell ref="P4:P5"/>
    <mergeCell ref="H4:H5"/>
    <mergeCell ref="I4:I5"/>
    <mergeCell ref="J4:J5"/>
    <mergeCell ref="K4:K5"/>
  </mergeCells>
  <printOptions horizontalCentered="1"/>
  <pageMargins left="0" right="0" top="0.39370078740157483" bottom="0" header="0" footer="0"/>
  <pageSetup paperSize="9" scale="44"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3A24A-67D4-4084-BABC-83B220684A0D}">
  <sheetPr>
    <tabColor rgb="FF92D050"/>
  </sheetPr>
  <dimension ref="A1:V20"/>
  <sheetViews>
    <sheetView rightToLeft="1" view="pageBreakPreview" topLeftCell="A4" zoomScale="60" zoomScaleNormal="60" workbookViewId="0">
      <selection activeCell="R7" sqref="R7"/>
    </sheetView>
  </sheetViews>
  <sheetFormatPr defaultColWidth="9" defaultRowHeight="20.25"/>
  <cols>
    <col min="1" max="1" width="1.625" style="72" customWidth="1"/>
    <col min="2" max="3" width="12.625" style="72" customWidth="1"/>
    <col min="4" max="4" width="16.5" style="72" customWidth="1"/>
    <col min="5" max="5" width="14.625" style="72" customWidth="1"/>
    <col min="6" max="22" width="18.5" style="72" customWidth="1"/>
    <col min="23" max="16384" width="9" style="72"/>
  </cols>
  <sheetData>
    <row r="1" spans="1:22" ht="9.9499999999999993" customHeight="1"/>
    <row r="2" spans="1:22" s="82" customFormat="1" ht="39.950000000000003" customHeight="1">
      <c r="A2" s="84"/>
      <c r="B2" s="121" t="s">
        <v>94</v>
      </c>
      <c r="C2" s="121"/>
      <c r="D2" s="121"/>
      <c r="E2" s="121"/>
      <c r="F2" s="121"/>
      <c r="G2" s="121"/>
      <c r="H2" s="121"/>
      <c r="I2" s="121"/>
      <c r="J2" s="121"/>
      <c r="K2" s="121"/>
      <c r="L2" s="121"/>
      <c r="M2" s="121"/>
      <c r="N2" s="121"/>
      <c r="O2" s="121"/>
      <c r="P2" s="121"/>
      <c r="Q2" s="121"/>
      <c r="R2" s="121"/>
      <c r="S2" s="121"/>
      <c r="T2" s="121"/>
      <c r="U2" s="121"/>
      <c r="V2" s="121"/>
    </row>
    <row r="3" spans="1:22" s="82" customFormat="1" ht="50.1" customHeight="1">
      <c r="B3" s="121" t="s">
        <v>178</v>
      </c>
      <c r="C3" s="121"/>
      <c r="D3" s="121"/>
      <c r="E3" s="121"/>
      <c r="F3" s="121"/>
      <c r="G3" s="121"/>
      <c r="H3" s="121"/>
      <c r="I3" s="121"/>
      <c r="J3" s="121"/>
      <c r="K3" s="121"/>
      <c r="L3" s="121"/>
      <c r="M3" s="121"/>
      <c r="N3" s="121"/>
      <c r="O3" s="121"/>
      <c r="P3" s="121"/>
      <c r="Q3" s="121"/>
      <c r="R3" s="121"/>
      <c r="S3" s="121"/>
      <c r="T3" s="121"/>
      <c r="U3" s="121"/>
      <c r="V3" s="121"/>
    </row>
    <row r="4" spans="1:22" s="82" customFormat="1" ht="39.950000000000003" customHeight="1">
      <c r="B4" s="119" t="s">
        <v>172</v>
      </c>
      <c r="C4" s="119" t="s">
        <v>171</v>
      </c>
      <c r="D4" s="117" t="s">
        <v>170</v>
      </c>
      <c r="E4" s="117" t="s">
        <v>169</v>
      </c>
      <c r="F4" s="117" t="s">
        <v>100</v>
      </c>
      <c r="G4" s="117" t="s">
        <v>104</v>
      </c>
      <c r="H4" s="117" t="s">
        <v>17</v>
      </c>
      <c r="I4" s="117" t="s">
        <v>105</v>
      </c>
      <c r="J4" s="117" t="s">
        <v>102</v>
      </c>
      <c r="K4" s="117" t="s">
        <v>106</v>
      </c>
      <c r="L4" s="117" t="s">
        <v>107</v>
      </c>
      <c r="M4" s="117" t="s">
        <v>177</v>
      </c>
      <c r="N4" s="117" t="s">
        <v>176</v>
      </c>
      <c r="O4" s="117" t="s">
        <v>175</v>
      </c>
      <c r="P4" s="117" t="s">
        <v>109</v>
      </c>
      <c r="Q4" s="117" t="s">
        <v>110</v>
      </c>
      <c r="R4" s="117" t="s">
        <v>112</v>
      </c>
      <c r="S4" s="117" t="s">
        <v>113</v>
      </c>
      <c r="T4" s="117" t="s">
        <v>114</v>
      </c>
      <c r="U4" s="117" t="s">
        <v>174</v>
      </c>
      <c r="V4" s="117" t="s">
        <v>173</v>
      </c>
    </row>
    <row r="5" spans="1:22" s="82" customFormat="1" ht="39.950000000000003" customHeight="1">
      <c r="B5" s="120"/>
      <c r="C5" s="120"/>
      <c r="D5" s="118"/>
      <c r="E5" s="118"/>
      <c r="F5" s="118"/>
      <c r="G5" s="118"/>
      <c r="H5" s="118"/>
      <c r="I5" s="118"/>
      <c r="J5" s="118"/>
      <c r="K5" s="118"/>
      <c r="L5" s="118"/>
      <c r="M5" s="118"/>
      <c r="N5" s="118"/>
      <c r="O5" s="118"/>
      <c r="P5" s="118"/>
      <c r="Q5" s="118"/>
      <c r="R5" s="118"/>
      <c r="S5" s="118"/>
      <c r="T5" s="118"/>
      <c r="U5" s="118"/>
      <c r="V5" s="118"/>
    </row>
    <row r="6" spans="1:22" s="82" customFormat="1" ht="20.100000000000001" customHeight="1">
      <c r="B6" s="83" t="s">
        <v>172</v>
      </c>
      <c r="C6" s="83" t="s">
        <v>171</v>
      </c>
      <c r="D6" s="83" t="s">
        <v>170</v>
      </c>
      <c r="E6" s="83" t="s">
        <v>169</v>
      </c>
      <c r="F6" s="83" t="s">
        <v>100</v>
      </c>
      <c r="G6" s="83" t="s">
        <v>104</v>
      </c>
      <c r="H6" s="83" t="s">
        <v>17</v>
      </c>
      <c r="I6" s="83" t="s">
        <v>105</v>
      </c>
      <c r="J6" s="83" t="s">
        <v>102</v>
      </c>
      <c r="K6" s="83" t="s">
        <v>106</v>
      </c>
      <c r="L6" s="83" t="s">
        <v>168</v>
      </c>
      <c r="M6" s="83" t="s">
        <v>167</v>
      </c>
      <c r="N6" s="83" t="s">
        <v>166</v>
      </c>
      <c r="O6" s="83" t="s">
        <v>165</v>
      </c>
      <c r="P6" s="83" t="s">
        <v>109</v>
      </c>
      <c r="Q6" s="83" t="s">
        <v>110</v>
      </c>
      <c r="R6" s="83" t="s">
        <v>14</v>
      </c>
      <c r="S6" s="83" t="s">
        <v>113</v>
      </c>
      <c r="T6" s="83" t="s">
        <v>122</v>
      </c>
      <c r="U6" s="83" t="s">
        <v>164</v>
      </c>
      <c r="V6" s="83" t="s">
        <v>163</v>
      </c>
    </row>
    <row r="7" spans="1:22" ht="50.1" customHeight="1">
      <c r="B7" s="81" t="s">
        <v>149</v>
      </c>
      <c r="C7" s="80">
        <v>1</v>
      </c>
      <c r="D7" s="79" t="s">
        <v>162</v>
      </c>
      <c r="E7" s="78"/>
      <c r="F7" s="76">
        <v>31000000</v>
      </c>
      <c r="G7" s="76">
        <v>2655495</v>
      </c>
      <c r="H7" s="76">
        <v>4650000</v>
      </c>
      <c r="I7" s="76">
        <v>6200000</v>
      </c>
      <c r="J7" s="76">
        <v>1400000</v>
      </c>
      <c r="K7" s="76">
        <f>IFERROR(ج_ح_فروردین2840[[#This Row],[حقوق پایه]]+ج_ح_فروردین2840[[#This Row],[حق اولاد]]+ج_ح_فروردین2840[[#This Row],[حق مسکن]]+ج_ح_فروردین2840[[#This Row],[حق خواربار]]+ج_ح_فروردین2840[[#This Row],[اضافه کاری]],"")</f>
        <v>45905495</v>
      </c>
      <c r="L7" s="76">
        <f>IFERROR(ج_ح_فروردین2840[[#This Row],[حقوق پایه]]+ج_ح_فروردین2840[[#This Row],[حق مسکن]]+ج_ح_فروردین2840[[#This Row],[حق خواربار]]+ج_ح_فروردین2840[[#This Row],[اضافه کاری]],"")</f>
        <v>43250000</v>
      </c>
      <c r="M7" s="76">
        <f>IFERROR(ج_ح_فروردین2840[[#This Row],[حقوق پایه]]+ج_ح_فروردین2840[[#This Row],[حق اولاد]]+ج_ح_فروردین2840[[#This Row],[حق مسکن]]+ج_ح_فروردین2840[[#This Row],[حق خواربار]]+ج_ح_فروردین2840[[#This Row],[اضافه کاری]],"")</f>
        <v>45905495</v>
      </c>
      <c r="N7" s="77">
        <f>IFERROR(ج_ح_فروردین2840[[#This Row],[جمع حقوق و مزایای مشمول بیمه ]]*7%,"")</f>
        <v>3027500.0000000005</v>
      </c>
      <c r="O7" s="76">
        <f>IFERROR(ج_ح_فروردین2840[[#This Row],[جمع حقوق و مزایای مشمول بیمه ]]*30%,"")</f>
        <v>12975000</v>
      </c>
      <c r="P7" s="76">
        <v>0</v>
      </c>
      <c r="Q7" s="76">
        <v>0</v>
      </c>
      <c r="R7" s="76">
        <v>0</v>
      </c>
      <c r="S7" s="76">
        <f>IFERROR(ج_ح_فروردین2840[[#This Row],[سهم بیمه کارمند 7%]]+ج_ح_فروردین2840[[#This Row],[وام]]+ج_ح_فروردین2840[[#This Row],[مساعده]]+ج_ح_فروردین2840[[#This Row],[مالیات پرداختنی]],"")</f>
        <v>3027500.0000000005</v>
      </c>
      <c r="T7" s="76">
        <f>IFERROR(ج_ح_فروردین2840[[#This Row],[جمع حقوق و مزایا]]-ج_ح_فروردین2840[[#This Row],[جمع کسورات]],"")</f>
        <v>42877995</v>
      </c>
      <c r="U7" s="76"/>
      <c r="V7" s="76"/>
    </row>
    <row r="8" spans="1:22" ht="50.1" customHeight="1">
      <c r="B8" s="81" t="s">
        <v>148</v>
      </c>
      <c r="C8" s="80">
        <v>2</v>
      </c>
      <c r="D8" s="79" t="s">
        <v>161</v>
      </c>
      <c r="E8" s="78"/>
      <c r="F8" s="76">
        <v>31000000</v>
      </c>
      <c r="G8" s="76">
        <v>2655495</v>
      </c>
      <c r="H8" s="76">
        <v>4650000</v>
      </c>
      <c r="I8" s="76">
        <v>6200000</v>
      </c>
      <c r="J8" s="76">
        <v>1400000</v>
      </c>
      <c r="K8" s="76">
        <f>IFERROR(ج_ح_فروردین2840[[#This Row],[حقوق پایه]]+ج_ح_فروردین2840[[#This Row],[حق اولاد]]+ج_ح_فروردین2840[[#This Row],[حق مسکن]]+ج_ح_فروردین2840[[#This Row],[حق خواربار]]+ج_ح_فروردین2840[[#This Row],[اضافه کاری]],"")</f>
        <v>45905495</v>
      </c>
      <c r="L8" s="76">
        <f>IFERROR(ج_ح_فروردین2840[[#This Row],[حقوق پایه]]+ج_ح_فروردین2840[[#This Row],[حق مسکن]]+ج_ح_فروردین2840[[#This Row],[حق خواربار]]+ج_ح_فروردین2840[[#This Row],[اضافه کاری]],"")</f>
        <v>43250000</v>
      </c>
      <c r="M8" s="76">
        <f>IFERROR(ج_ح_فروردین2840[[#This Row],[حقوق پایه]]+ج_ح_فروردین2840[[#This Row],[حق اولاد]]+ج_ح_فروردین2840[[#This Row],[حق مسکن]]+ج_ح_فروردین2840[[#This Row],[حق خواربار]]+ج_ح_فروردین2840[[#This Row],[اضافه کاری]],"")</f>
        <v>45905495</v>
      </c>
      <c r="N8" s="77">
        <f>IFERROR(ج_ح_فروردین2840[[#This Row],[جمع حقوق و مزایای مشمول بیمه ]]*7%,"")</f>
        <v>3027500.0000000005</v>
      </c>
      <c r="O8" s="76">
        <f>IFERROR(ج_ح_فروردین2840[[#This Row],[جمع حقوق و مزایای مشمول بیمه ]]*30%,"")</f>
        <v>12975000</v>
      </c>
      <c r="P8" s="76">
        <v>0</v>
      </c>
      <c r="Q8" s="76">
        <v>0</v>
      </c>
      <c r="R8" s="76">
        <v>0</v>
      </c>
      <c r="S8" s="76">
        <f>IFERROR(ج_ح_فروردین2840[[#This Row],[سهم بیمه کارمند 7%]]+ج_ح_فروردین2840[[#This Row],[وام]]+ج_ح_فروردین2840[[#This Row],[مساعده]]+ج_ح_فروردین2840[[#This Row],[مالیات پرداختنی]],"")</f>
        <v>3027500.0000000005</v>
      </c>
      <c r="T8" s="76">
        <f>IFERROR(ج_ح_فروردین2840[[#This Row],[جمع حقوق و مزایا]]-ج_ح_فروردین2840[[#This Row],[جمع کسورات]],"")</f>
        <v>42877995</v>
      </c>
      <c r="U8" s="76"/>
      <c r="V8" s="76"/>
    </row>
    <row r="9" spans="1:22" ht="50.1" customHeight="1">
      <c r="B9" s="81" t="s">
        <v>147</v>
      </c>
      <c r="C9" s="80">
        <v>3</v>
      </c>
      <c r="D9" s="79" t="s">
        <v>160</v>
      </c>
      <c r="E9" s="78"/>
      <c r="F9" s="76">
        <v>31000000</v>
      </c>
      <c r="G9" s="76">
        <v>2655495</v>
      </c>
      <c r="H9" s="76">
        <v>4650000</v>
      </c>
      <c r="I9" s="76">
        <v>6200000</v>
      </c>
      <c r="J9" s="76">
        <v>1400000</v>
      </c>
      <c r="K9" s="76">
        <f>IFERROR(ج_ح_فروردین2840[[#This Row],[حقوق پایه]]+ج_ح_فروردین2840[[#This Row],[حق اولاد]]+ج_ح_فروردین2840[[#This Row],[حق مسکن]]+ج_ح_فروردین2840[[#This Row],[حق خواربار]]+ج_ح_فروردین2840[[#This Row],[اضافه کاری]],"")</f>
        <v>45905495</v>
      </c>
      <c r="L9" s="76">
        <f>IFERROR(ج_ح_فروردین2840[[#This Row],[حقوق پایه]]+ج_ح_فروردین2840[[#This Row],[حق مسکن]]+ج_ح_فروردین2840[[#This Row],[حق خواربار]]+ج_ح_فروردین2840[[#This Row],[اضافه کاری]],"")</f>
        <v>43250000</v>
      </c>
      <c r="M9" s="76">
        <f>IFERROR(ج_ح_فروردین2840[[#This Row],[حقوق پایه]]+ج_ح_فروردین2840[[#This Row],[حق اولاد]]+ج_ح_فروردین2840[[#This Row],[حق مسکن]]+ج_ح_فروردین2840[[#This Row],[حق خواربار]]+ج_ح_فروردین2840[[#This Row],[اضافه کاری]],"")</f>
        <v>45905495</v>
      </c>
      <c r="N9" s="77">
        <f>IFERROR(ج_ح_فروردین2840[[#This Row],[جمع حقوق و مزایای مشمول بیمه ]]*7%,"")</f>
        <v>3027500.0000000005</v>
      </c>
      <c r="O9" s="76">
        <f>IFERROR(ج_ح_فروردین2840[[#This Row],[جمع حقوق و مزایای مشمول بیمه ]]*30%,"")</f>
        <v>12975000</v>
      </c>
      <c r="P9" s="76">
        <v>0</v>
      </c>
      <c r="Q9" s="76">
        <v>0</v>
      </c>
      <c r="R9" s="76">
        <v>0</v>
      </c>
      <c r="S9" s="76">
        <f>IFERROR(ج_ح_فروردین2840[[#This Row],[سهم بیمه کارمند 7%]]+ج_ح_فروردین2840[[#This Row],[وام]]+ج_ح_فروردین2840[[#This Row],[مساعده]]+ج_ح_فروردین2840[[#This Row],[مالیات پرداختنی]],"")</f>
        <v>3027500.0000000005</v>
      </c>
      <c r="T9" s="76">
        <f>IFERROR(ج_ح_فروردین2840[[#This Row],[جمع حقوق و مزایا]]-ج_ح_فروردین2840[[#This Row],[جمع کسورات]],"")</f>
        <v>42877995</v>
      </c>
      <c r="U9" s="76"/>
      <c r="V9" s="76"/>
    </row>
    <row r="10" spans="1:22" ht="50.1" customHeight="1">
      <c r="B10" s="81" t="s">
        <v>146</v>
      </c>
      <c r="C10" s="80">
        <v>4</v>
      </c>
      <c r="D10" s="79" t="s">
        <v>159</v>
      </c>
      <c r="E10" s="78"/>
      <c r="F10" s="76">
        <v>31000000</v>
      </c>
      <c r="G10" s="76">
        <v>2655495</v>
      </c>
      <c r="H10" s="76">
        <v>4650000</v>
      </c>
      <c r="I10" s="76">
        <v>6200000</v>
      </c>
      <c r="J10" s="76">
        <v>1400000</v>
      </c>
      <c r="K10" s="76">
        <f>IFERROR(ج_ح_فروردین2840[[#This Row],[حقوق پایه]]+ج_ح_فروردین2840[[#This Row],[حق اولاد]]+ج_ح_فروردین2840[[#This Row],[حق مسکن]]+ج_ح_فروردین2840[[#This Row],[حق خواربار]]+ج_ح_فروردین2840[[#This Row],[اضافه کاری]],"")</f>
        <v>45905495</v>
      </c>
      <c r="L10" s="76">
        <f>IFERROR(ج_ح_فروردین2840[[#This Row],[حقوق پایه]]+ج_ح_فروردین2840[[#This Row],[حق مسکن]]+ج_ح_فروردین2840[[#This Row],[حق خواربار]]+ج_ح_فروردین2840[[#This Row],[اضافه کاری]],"")</f>
        <v>43250000</v>
      </c>
      <c r="M10" s="76">
        <f>IFERROR(ج_ح_فروردین2840[[#This Row],[حقوق پایه]]+ج_ح_فروردین2840[[#This Row],[حق اولاد]]+ج_ح_فروردین2840[[#This Row],[حق مسکن]]+ج_ح_فروردین2840[[#This Row],[حق خواربار]]+ج_ح_فروردین2840[[#This Row],[اضافه کاری]],"")</f>
        <v>45905495</v>
      </c>
      <c r="N10" s="77">
        <f>IFERROR(ج_ح_فروردین2840[[#This Row],[جمع حقوق و مزایای مشمول بیمه ]]*7%,"")</f>
        <v>3027500.0000000005</v>
      </c>
      <c r="O10" s="76">
        <f>IFERROR(ج_ح_فروردین2840[[#This Row],[جمع حقوق و مزایای مشمول بیمه ]]*30%,"")</f>
        <v>12975000</v>
      </c>
      <c r="P10" s="76">
        <v>0</v>
      </c>
      <c r="Q10" s="76">
        <v>0</v>
      </c>
      <c r="R10" s="76">
        <v>0</v>
      </c>
      <c r="S10" s="76">
        <f>IFERROR(ج_ح_فروردین2840[[#This Row],[سهم بیمه کارمند 7%]]+ج_ح_فروردین2840[[#This Row],[وام]]+ج_ح_فروردین2840[[#This Row],[مساعده]]+ج_ح_فروردین2840[[#This Row],[مالیات پرداختنی]],"")</f>
        <v>3027500.0000000005</v>
      </c>
      <c r="T10" s="76">
        <f>IFERROR(ج_ح_فروردین2840[[#This Row],[جمع حقوق و مزایا]]-ج_ح_فروردین2840[[#This Row],[جمع کسورات]],"")</f>
        <v>42877995</v>
      </c>
      <c r="U10" s="76"/>
      <c r="V10" s="76"/>
    </row>
    <row r="11" spans="1:22" ht="50.1" customHeight="1">
      <c r="B11" s="81" t="s">
        <v>145</v>
      </c>
      <c r="C11" s="80">
        <v>5</v>
      </c>
      <c r="D11" s="79" t="s">
        <v>158</v>
      </c>
      <c r="E11" s="78"/>
      <c r="F11" s="76">
        <v>31000000</v>
      </c>
      <c r="G11" s="76">
        <v>2655495</v>
      </c>
      <c r="H11" s="76">
        <v>4650000</v>
      </c>
      <c r="I11" s="76">
        <v>6200000</v>
      </c>
      <c r="J11" s="76">
        <v>1400000</v>
      </c>
      <c r="K11" s="76">
        <f>IFERROR(ج_ح_فروردین2840[[#This Row],[حقوق پایه]]+ج_ح_فروردین2840[[#This Row],[حق اولاد]]+ج_ح_فروردین2840[[#This Row],[حق مسکن]]+ج_ح_فروردین2840[[#This Row],[حق خواربار]]+ج_ح_فروردین2840[[#This Row],[اضافه کاری]],"")</f>
        <v>45905495</v>
      </c>
      <c r="L11" s="76">
        <f>IFERROR(ج_ح_فروردین2840[[#This Row],[حقوق پایه]]+ج_ح_فروردین2840[[#This Row],[حق مسکن]]+ج_ح_فروردین2840[[#This Row],[حق خواربار]]+ج_ح_فروردین2840[[#This Row],[اضافه کاری]],"")</f>
        <v>43250000</v>
      </c>
      <c r="M11" s="76">
        <f>IFERROR(ج_ح_فروردین2840[[#This Row],[حقوق پایه]]+ج_ح_فروردین2840[[#This Row],[حق اولاد]]+ج_ح_فروردین2840[[#This Row],[حق مسکن]]+ج_ح_فروردین2840[[#This Row],[حق خواربار]]+ج_ح_فروردین2840[[#This Row],[اضافه کاری]],"")</f>
        <v>45905495</v>
      </c>
      <c r="N11" s="77">
        <f>IFERROR(ج_ح_فروردین2840[[#This Row],[جمع حقوق و مزایای مشمول بیمه ]]*7%,"")</f>
        <v>3027500.0000000005</v>
      </c>
      <c r="O11" s="76">
        <f>IFERROR(ج_ح_فروردین2840[[#This Row],[جمع حقوق و مزایای مشمول بیمه ]]*30%,"")</f>
        <v>12975000</v>
      </c>
      <c r="P11" s="76">
        <v>0</v>
      </c>
      <c r="Q11" s="76">
        <v>0</v>
      </c>
      <c r="R11" s="76">
        <v>0</v>
      </c>
      <c r="S11" s="76">
        <f>IFERROR(ج_ح_فروردین2840[[#This Row],[سهم بیمه کارمند 7%]]+ج_ح_فروردین2840[[#This Row],[وام]]+ج_ح_فروردین2840[[#This Row],[مساعده]]+ج_ح_فروردین2840[[#This Row],[مالیات پرداختنی]],"")</f>
        <v>3027500.0000000005</v>
      </c>
      <c r="T11" s="76">
        <f>IFERROR(ج_ح_فروردین2840[[#This Row],[جمع حقوق و مزایا]]-ج_ح_فروردین2840[[#This Row],[جمع کسورات]],"")</f>
        <v>42877995</v>
      </c>
      <c r="U11" s="76"/>
      <c r="V11" s="76"/>
    </row>
    <row r="12" spans="1:22" ht="50.1" customHeight="1">
      <c r="B12" s="81" t="s">
        <v>144</v>
      </c>
      <c r="C12" s="80">
        <v>6</v>
      </c>
      <c r="D12" s="79" t="s">
        <v>157</v>
      </c>
      <c r="E12" s="78"/>
      <c r="F12" s="76">
        <v>31000000</v>
      </c>
      <c r="G12" s="76">
        <v>2655495</v>
      </c>
      <c r="H12" s="76">
        <v>4650000</v>
      </c>
      <c r="I12" s="76">
        <v>6200000</v>
      </c>
      <c r="J12" s="76">
        <v>1400000</v>
      </c>
      <c r="K12" s="76">
        <f>IFERROR(ج_ح_فروردین2840[[#This Row],[حقوق پایه]]+ج_ح_فروردین2840[[#This Row],[حق اولاد]]+ج_ح_فروردین2840[[#This Row],[حق مسکن]]+ج_ح_فروردین2840[[#This Row],[حق خواربار]]+ج_ح_فروردین2840[[#This Row],[اضافه کاری]],"")</f>
        <v>45905495</v>
      </c>
      <c r="L12" s="76">
        <f>IFERROR(ج_ح_فروردین2840[[#This Row],[حقوق پایه]]+ج_ح_فروردین2840[[#This Row],[حق مسکن]]+ج_ح_فروردین2840[[#This Row],[حق خواربار]]+ج_ح_فروردین2840[[#This Row],[اضافه کاری]],"")</f>
        <v>43250000</v>
      </c>
      <c r="M12" s="76">
        <f>IFERROR(ج_ح_فروردین2840[[#This Row],[حقوق پایه]]+ج_ح_فروردین2840[[#This Row],[حق اولاد]]+ج_ح_فروردین2840[[#This Row],[حق مسکن]]+ج_ح_فروردین2840[[#This Row],[حق خواربار]]+ج_ح_فروردین2840[[#This Row],[اضافه کاری]],"")</f>
        <v>45905495</v>
      </c>
      <c r="N12" s="77">
        <f>IFERROR(ج_ح_فروردین2840[[#This Row],[جمع حقوق و مزایای مشمول بیمه ]]*7%,"")</f>
        <v>3027500.0000000005</v>
      </c>
      <c r="O12" s="76">
        <f>IFERROR(ج_ح_فروردین2840[[#This Row],[جمع حقوق و مزایای مشمول بیمه ]]*30%,"")</f>
        <v>12975000</v>
      </c>
      <c r="P12" s="76">
        <v>0</v>
      </c>
      <c r="Q12" s="76">
        <v>0</v>
      </c>
      <c r="R12" s="76">
        <v>0</v>
      </c>
      <c r="S12" s="76">
        <f>IFERROR(ج_ح_فروردین2840[[#This Row],[سهم بیمه کارمند 7%]]+ج_ح_فروردین2840[[#This Row],[وام]]+ج_ح_فروردین2840[[#This Row],[مساعده]]+ج_ح_فروردین2840[[#This Row],[مالیات پرداختنی]],"")</f>
        <v>3027500.0000000005</v>
      </c>
      <c r="T12" s="76">
        <f>IFERROR(ج_ح_فروردین2840[[#This Row],[جمع حقوق و مزایا]]-ج_ح_فروردین2840[[#This Row],[جمع کسورات]],"")</f>
        <v>42877995</v>
      </c>
      <c r="U12" s="76"/>
      <c r="V12" s="76"/>
    </row>
    <row r="13" spans="1:22" ht="50.1" customHeight="1">
      <c r="B13" s="81" t="s">
        <v>143</v>
      </c>
      <c r="C13" s="80">
        <v>7</v>
      </c>
      <c r="D13" s="79" t="s">
        <v>156</v>
      </c>
      <c r="E13" s="78"/>
      <c r="F13" s="76">
        <v>30000000</v>
      </c>
      <c r="G13" s="76">
        <v>2655495</v>
      </c>
      <c r="H13" s="76">
        <v>4500000</v>
      </c>
      <c r="I13" s="76">
        <v>6000000</v>
      </c>
      <c r="J13" s="76">
        <v>1400000</v>
      </c>
      <c r="K13" s="76">
        <f>IFERROR(ج_ح_فروردین2840[[#This Row],[حقوق پایه]]+ج_ح_فروردین2840[[#This Row],[حق اولاد]]+ج_ح_فروردین2840[[#This Row],[حق مسکن]]+ج_ح_فروردین2840[[#This Row],[حق خواربار]]+ج_ح_فروردین2840[[#This Row],[اضافه کاری]],"")</f>
        <v>44555495</v>
      </c>
      <c r="L13" s="76">
        <f>IFERROR(ج_ح_فروردین2840[[#This Row],[حقوق پایه]]+ج_ح_فروردین2840[[#This Row],[حق مسکن]]+ج_ح_فروردین2840[[#This Row],[حق خواربار]]+ج_ح_فروردین2840[[#This Row],[اضافه کاری]],"")</f>
        <v>41900000</v>
      </c>
      <c r="M13" s="76">
        <f>IFERROR(ج_ح_فروردین2840[[#This Row],[حقوق پایه]]+ج_ح_فروردین2840[[#This Row],[حق اولاد]]+ج_ح_فروردین2840[[#This Row],[حق مسکن]]+ج_ح_فروردین2840[[#This Row],[حق خواربار]]+ج_ح_فروردین2840[[#This Row],[اضافه کاری]],"")</f>
        <v>44555495</v>
      </c>
      <c r="N13" s="77">
        <f>IFERROR(ج_ح_فروردین2840[[#This Row],[جمع حقوق و مزایای مشمول بیمه ]]*7%,"")</f>
        <v>2933000.0000000005</v>
      </c>
      <c r="O13" s="76">
        <f>IFERROR(ج_ح_فروردین2840[[#This Row],[جمع حقوق و مزایای مشمول بیمه ]]*30%,"")</f>
        <v>12570000</v>
      </c>
      <c r="P13" s="76">
        <v>0</v>
      </c>
      <c r="Q13" s="76">
        <v>0</v>
      </c>
      <c r="R13" s="76">
        <v>0</v>
      </c>
      <c r="S13" s="76">
        <f>IFERROR(ج_ح_فروردین2840[[#This Row],[سهم بیمه کارمند 7%]]+ج_ح_فروردین2840[[#This Row],[وام]]+ج_ح_فروردین2840[[#This Row],[مساعده]]+ج_ح_فروردین2840[[#This Row],[مالیات پرداختنی]],"")</f>
        <v>2933000.0000000005</v>
      </c>
      <c r="T13" s="76">
        <f>IFERROR(ج_ح_فروردین2840[[#This Row],[جمع حقوق و مزایا]]-ج_ح_فروردین2840[[#This Row],[جمع کسورات]],"")</f>
        <v>41622495</v>
      </c>
      <c r="U13" s="76"/>
      <c r="V13" s="76"/>
    </row>
    <row r="14" spans="1:22" ht="50.1" customHeight="1">
      <c r="B14" s="81" t="s">
        <v>142</v>
      </c>
      <c r="C14" s="80">
        <v>8</v>
      </c>
      <c r="D14" s="79" t="s">
        <v>155</v>
      </c>
      <c r="E14" s="78"/>
      <c r="F14" s="76">
        <v>30000000</v>
      </c>
      <c r="G14" s="76">
        <v>2655495</v>
      </c>
      <c r="H14" s="76">
        <v>4500000</v>
      </c>
      <c r="I14" s="76">
        <v>6000000</v>
      </c>
      <c r="J14" s="76">
        <v>1400000</v>
      </c>
      <c r="K14" s="76">
        <f>IFERROR(ج_ح_فروردین2840[[#This Row],[حقوق پایه]]+ج_ح_فروردین2840[[#This Row],[حق اولاد]]+ج_ح_فروردین2840[[#This Row],[حق مسکن]]+ج_ح_فروردین2840[[#This Row],[حق خواربار]]+ج_ح_فروردین2840[[#This Row],[اضافه کاری]],"")</f>
        <v>44555495</v>
      </c>
      <c r="L14" s="76">
        <f>IFERROR(ج_ح_فروردین2840[[#This Row],[حقوق پایه]]+ج_ح_فروردین2840[[#This Row],[حق مسکن]]+ج_ح_فروردین2840[[#This Row],[حق خواربار]]+ج_ح_فروردین2840[[#This Row],[اضافه کاری]],"")</f>
        <v>41900000</v>
      </c>
      <c r="M14" s="76">
        <f>IFERROR(ج_ح_فروردین2840[[#This Row],[حقوق پایه]]+ج_ح_فروردین2840[[#This Row],[حق اولاد]]+ج_ح_فروردین2840[[#This Row],[حق مسکن]]+ج_ح_فروردین2840[[#This Row],[حق خواربار]]+ج_ح_فروردین2840[[#This Row],[اضافه کاری]],"")</f>
        <v>44555495</v>
      </c>
      <c r="N14" s="77">
        <f>IFERROR(ج_ح_فروردین2840[[#This Row],[جمع حقوق و مزایای مشمول بیمه ]]*7%,"")</f>
        <v>2933000.0000000005</v>
      </c>
      <c r="O14" s="76">
        <f>IFERROR(ج_ح_فروردین2840[[#This Row],[جمع حقوق و مزایای مشمول بیمه ]]*30%,"")</f>
        <v>12570000</v>
      </c>
      <c r="P14" s="76">
        <v>0</v>
      </c>
      <c r="Q14" s="76">
        <v>0</v>
      </c>
      <c r="R14" s="76">
        <v>0</v>
      </c>
      <c r="S14" s="76">
        <f>IFERROR(ج_ح_فروردین2840[[#This Row],[سهم بیمه کارمند 7%]]+ج_ح_فروردین2840[[#This Row],[وام]]+ج_ح_فروردین2840[[#This Row],[مساعده]]+ج_ح_فروردین2840[[#This Row],[مالیات پرداختنی]],"")</f>
        <v>2933000.0000000005</v>
      </c>
      <c r="T14" s="76">
        <f>IFERROR(ج_ح_فروردین2840[[#This Row],[جمع حقوق و مزایا]]-ج_ح_فروردین2840[[#This Row],[جمع کسورات]],"")</f>
        <v>41622495</v>
      </c>
      <c r="U14" s="76"/>
      <c r="V14" s="76"/>
    </row>
    <row r="15" spans="1:22" ht="50.1" customHeight="1">
      <c r="B15" s="81" t="s">
        <v>141</v>
      </c>
      <c r="C15" s="80">
        <v>9</v>
      </c>
      <c r="D15" s="79" t="s">
        <v>154</v>
      </c>
      <c r="E15" s="78"/>
      <c r="F15" s="76">
        <v>30000000</v>
      </c>
      <c r="G15" s="76">
        <v>2655495</v>
      </c>
      <c r="H15" s="76">
        <v>4500000</v>
      </c>
      <c r="I15" s="76">
        <v>6000000</v>
      </c>
      <c r="J15" s="76">
        <v>1400000</v>
      </c>
      <c r="K15" s="76">
        <f>IFERROR(ج_ح_فروردین2840[[#This Row],[حقوق پایه]]+ج_ح_فروردین2840[[#This Row],[حق اولاد]]+ج_ح_فروردین2840[[#This Row],[حق مسکن]]+ج_ح_فروردین2840[[#This Row],[حق خواربار]]+ج_ح_فروردین2840[[#This Row],[اضافه کاری]],"")</f>
        <v>44555495</v>
      </c>
      <c r="L15" s="76">
        <f>IFERROR(ج_ح_فروردین2840[[#This Row],[حقوق پایه]]+ج_ح_فروردین2840[[#This Row],[حق مسکن]]+ج_ح_فروردین2840[[#This Row],[حق خواربار]]+ج_ح_فروردین2840[[#This Row],[اضافه کاری]],"")</f>
        <v>41900000</v>
      </c>
      <c r="M15" s="76">
        <f>IFERROR(ج_ح_فروردین2840[[#This Row],[حقوق پایه]]+ج_ح_فروردین2840[[#This Row],[حق اولاد]]+ج_ح_فروردین2840[[#This Row],[حق مسکن]]+ج_ح_فروردین2840[[#This Row],[حق خواربار]]+ج_ح_فروردین2840[[#This Row],[اضافه کاری]],"")</f>
        <v>44555495</v>
      </c>
      <c r="N15" s="77">
        <f>IFERROR(ج_ح_فروردین2840[[#This Row],[جمع حقوق و مزایای مشمول بیمه ]]*7%,"")</f>
        <v>2933000.0000000005</v>
      </c>
      <c r="O15" s="76">
        <f>IFERROR(ج_ح_فروردین2840[[#This Row],[جمع حقوق و مزایای مشمول بیمه ]]*30%,"")</f>
        <v>12570000</v>
      </c>
      <c r="P15" s="76">
        <v>0</v>
      </c>
      <c r="Q15" s="76">
        <v>0</v>
      </c>
      <c r="R15" s="76">
        <v>0</v>
      </c>
      <c r="S15" s="76">
        <f>IFERROR(ج_ح_فروردین2840[[#This Row],[سهم بیمه کارمند 7%]]+ج_ح_فروردین2840[[#This Row],[وام]]+ج_ح_فروردین2840[[#This Row],[مساعده]]+ج_ح_فروردین2840[[#This Row],[مالیات پرداختنی]],"")</f>
        <v>2933000.0000000005</v>
      </c>
      <c r="T15" s="76">
        <f>IFERROR(ج_ح_فروردین2840[[#This Row],[جمع حقوق و مزایا]]-ج_ح_فروردین2840[[#This Row],[جمع کسورات]],"")</f>
        <v>41622495</v>
      </c>
      <c r="U15" s="76"/>
      <c r="V15" s="76"/>
    </row>
    <row r="16" spans="1:22" ht="50.1" customHeight="1">
      <c r="B16" s="81" t="s">
        <v>140</v>
      </c>
      <c r="C16" s="80">
        <v>10</v>
      </c>
      <c r="D16" s="79" t="s">
        <v>153</v>
      </c>
      <c r="E16" s="78"/>
      <c r="F16" s="76">
        <v>30000000</v>
      </c>
      <c r="G16" s="76">
        <v>2655495</v>
      </c>
      <c r="H16" s="76">
        <v>4500000</v>
      </c>
      <c r="I16" s="76">
        <v>6000000</v>
      </c>
      <c r="J16" s="76">
        <v>1400000</v>
      </c>
      <c r="K16" s="76">
        <f>IFERROR(ج_ح_فروردین2840[[#This Row],[حقوق پایه]]+ج_ح_فروردین2840[[#This Row],[حق اولاد]]+ج_ح_فروردین2840[[#This Row],[حق مسکن]]+ج_ح_فروردین2840[[#This Row],[حق خواربار]]+ج_ح_فروردین2840[[#This Row],[اضافه کاری]],"")</f>
        <v>44555495</v>
      </c>
      <c r="L16" s="76">
        <f>IFERROR(ج_ح_فروردین2840[[#This Row],[حقوق پایه]]+ج_ح_فروردین2840[[#This Row],[حق مسکن]]+ج_ح_فروردین2840[[#This Row],[حق خواربار]]+ج_ح_فروردین2840[[#This Row],[اضافه کاری]],"")</f>
        <v>41900000</v>
      </c>
      <c r="M16" s="76">
        <f>IFERROR(ج_ح_فروردین2840[[#This Row],[حقوق پایه]]+ج_ح_فروردین2840[[#This Row],[حق اولاد]]+ج_ح_فروردین2840[[#This Row],[حق مسکن]]+ج_ح_فروردین2840[[#This Row],[حق خواربار]]+ج_ح_فروردین2840[[#This Row],[اضافه کاری]],"")</f>
        <v>44555495</v>
      </c>
      <c r="N16" s="77">
        <f>IFERROR(ج_ح_فروردین2840[[#This Row],[جمع حقوق و مزایای مشمول بیمه ]]*7%,"")</f>
        <v>2933000.0000000005</v>
      </c>
      <c r="O16" s="76">
        <f>IFERROR(ج_ح_فروردین2840[[#This Row],[جمع حقوق و مزایای مشمول بیمه ]]*30%,"")</f>
        <v>12570000</v>
      </c>
      <c r="P16" s="76">
        <v>0</v>
      </c>
      <c r="Q16" s="76">
        <v>0</v>
      </c>
      <c r="R16" s="76">
        <v>0</v>
      </c>
      <c r="S16" s="76">
        <f>IFERROR(ج_ح_فروردین2840[[#This Row],[سهم بیمه کارمند 7%]]+ج_ح_فروردین2840[[#This Row],[وام]]+ج_ح_فروردین2840[[#This Row],[مساعده]]+ج_ح_فروردین2840[[#This Row],[مالیات پرداختنی]],"")</f>
        <v>2933000.0000000005</v>
      </c>
      <c r="T16" s="76">
        <f>IFERROR(ج_ح_فروردین2840[[#This Row],[جمع حقوق و مزایا]]-ج_ح_فروردین2840[[#This Row],[جمع کسورات]],"")</f>
        <v>41622495</v>
      </c>
      <c r="U16" s="76"/>
      <c r="V16" s="76"/>
    </row>
    <row r="17" spans="2:22" ht="50.1" customHeight="1">
      <c r="B17" s="81" t="s">
        <v>139</v>
      </c>
      <c r="C17" s="80">
        <v>11</v>
      </c>
      <c r="D17" s="79" t="s">
        <v>152</v>
      </c>
      <c r="E17" s="78"/>
      <c r="F17" s="76">
        <v>30000000</v>
      </c>
      <c r="G17" s="76">
        <v>2655495</v>
      </c>
      <c r="H17" s="76">
        <v>4500000</v>
      </c>
      <c r="I17" s="76">
        <v>6000000</v>
      </c>
      <c r="J17" s="76">
        <v>1400000</v>
      </c>
      <c r="K17" s="76">
        <f>IFERROR(ج_ح_فروردین2840[[#This Row],[حقوق پایه]]+ج_ح_فروردین2840[[#This Row],[حق اولاد]]+ج_ح_فروردین2840[[#This Row],[حق مسکن]]+ج_ح_فروردین2840[[#This Row],[حق خواربار]]+ج_ح_فروردین2840[[#This Row],[اضافه کاری]],"")</f>
        <v>44555495</v>
      </c>
      <c r="L17" s="76">
        <f>IFERROR(ج_ح_فروردین2840[[#This Row],[حقوق پایه]]+ج_ح_فروردین2840[[#This Row],[حق مسکن]]+ج_ح_فروردین2840[[#This Row],[حق خواربار]]+ج_ح_فروردین2840[[#This Row],[اضافه کاری]],"")</f>
        <v>41900000</v>
      </c>
      <c r="M17" s="76">
        <f>IFERROR(ج_ح_فروردین2840[[#This Row],[حقوق پایه]]+ج_ح_فروردین2840[[#This Row],[حق اولاد]]+ج_ح_فروردین2840[[#This Row],[حق مسکن]]+ج_ح_فروردین2840[[#This Row],[حق خواربار]]+ج_ح_فروردین2840[[#This Row],[اضافه کاری]],"")</f>
        <v>44555495</v>
      </c>
      <c r="N17" s="77">
        <f>IFERROR(ج_ح_فروردین2840[[#This Row],[جمع حقوق و مزایای مشمول بیمه ]]*7%,"")</f>
        <v>2933000.0000000005</v>
      </c>
      <c r="O17" s="76">
        <f>IFERROR(ج_ح_فروردین2840[[#This Row],[جمع حقوق و مزایای مشمول بیمه ]]*30%,"")</f>
        <v>12570000</v>
      </c>
      <c r="P17" s="76">
        <v>0</v>
      </c>
      <c r="Q17" s="76">
        <v>0</v>
      </c>
      <c r="R17" s="76">
        <v>0</v>
      </c>
      <c r="S17" s="76">
        <f>IFERROR(ج_ح_فروردین2840[[#This Row],[سهم بیمه کارمند 7%]]+ج_ح_فروردین2840[[#This Row],[وام]]+ج_ح_فروردین2840[[#This Row],[مساعده]]+ج_ح_فروردین2840[[#This Row],[مالیات پرداختنی]],"")</f>
        <v>2933000.0000000005</v>
      </c>
      <c r="T17" s="76">
        <f>IFERROR(ج_ح_فروردین2840[[#This Row],[جمع حقوق و مزایا]]-ج_ح_فروردین2840[[#This Row],[جمع کسورات]],"")</f>
        <v>41622495</v>
      </c>
      <c r="U17" s="76"/>
      <c r="V17" s="76"/>
    </row>
    <row r="18" spans="2:22" ht="50.1" customHeight="1">
      <c r="B18" s="81" t="s">
        <v>138</v>
      </c>
      <c r="C18" s="80">
        <v>12</v>
      </c>
      <c r="D18" s="79" t="s">
        <v>151</v>
      </c>
      <c r="E18" s="78"/>
      <c r="F18" s="76">
        <v>29000000</v>
      </c>
      <c r="G18" s="76">
        <v>2655495</v>
      </c>
      <c r="H18" s="76">
        <v>4350000</v>
      </c>
      <c r="I18" s="76">
        <v>5800000</v>
      </c>
      <c r="J18" s="76">
        <v>1400000</v>
      </c>
      <c r="K18" s="76">
        <f>IFERROR(ج_ح_فروردین2840[[#This Row],[حقوق پایه]]+ج_ح_فروردین2840[[#This Row],[حق اولاد]]+ج_ح_فروردین2840[[#This Row],[حق مسکن]]+ج_ح_فروردین2840[[#This Row],[حق خواربار]]+ج_ح_فروردین2840[[#This Row],[اضافه کاری]],"")</f>
        <v>43205495</v>
      </c>
      <c r="L18" s="76">
        <f>IFERROR(ج_ح_فروردین2840[[#This Row],[حقوق پایه]]+ج_ح_فروردین2840[[#This Row],[حق مسکن]]+ج_ح_فروردین2840[[#This Row],[حق خواربار]]+ج_ح_فروردین2840[[#This Row],[اضافه کاری]],"")</f>
        <v>40550000</v>
      </c>
      <c r="M18" s="76">
        <f>IFERROR(ج_ح_فروردین2840[[#This Row],[حقوق پایه]]+ج_ح_فروردین2840[[#This Row],[حق اولاد]]+ج_ح_فروردین2840[[#This Row],[حق مسکن]]+ج_ح_فروردین2840[[#This Row],[حق خواربار]]+ج_ح_فروردین2840[[#This Row],[اضافه کاری]],"")</f>
        <v>43205495</v>
      </c>
      <c r="N18" s="77">
        <f>IFERROR(ج_ح_فروردین2840[[#This Row],[جمع حقوق و مزایای مشمول بیمه ]]*7%,"")</f>
        <v>2838500.0000000005</v>
      </c>
      <c r="O18" s="76">
        <f>IFERROR(ج_ح_فروردین2840[[#This Row],[جمع حقوق و مزایای مشمول بیمه ]]*30%,"")</f>
        <v>12165000</v>
      </c>
      <c r="P18" s="76">
        <v>0</v>
      </c>
      <c r="Q18" s="76">
        <v>0</v>
      </c>
      <c r="R18" s="76">
        <v>0</v>
      </c>
      <c r="S18" s="76">
        <f>IFERROR(ج_ح_فروردین2840[[#This Row],[سهم بیمه کارمند 7%]]+ج_ح_فروردین2840[[#This Row],[وام]]+ج_ح_فروردین2840[[#This Row],[مساعده]]+ج_ح_فروردین2840[[#This Row],[مالیات پرداختنی]],"")</f>
        <v>2838500.0000000005</v>
      </c>
      <c r="T18" s="76">
        <f>IFERROR(ج_ح_فروردین2840[[#This Row],[جمع حقوق و مزایا]]-ج_ح_فروردین2840[[#This Row],[جمع کسورات]],"")</f>
        <v>40366995</v>
      </c>
      <c r="U18" s="76"/>
      <c r="V18" s="76"/>
    </row>
    <row r="19" spans="2:22" ht="50.1" customHeight="1">
      <c r="B19" s="75"/>
      <c r="C19" s="75"/>
      <c r="D19" s="74"/>
      <c r="E19" s="74" t="s">
        <v>124</v>
      </c>
      <c r="F19" s="73">
        <f>SUBTOTAL(109,ج_ح_فروردین2840[حقوق پایه])</f>
        <v>365000000</v>
      </c>
      <c r="G19" s="73">
        <f>SUBTOTAL(109,ج_ح_فروردین2840[حق اولاد])</f>
        <v>31865940</v>
      </c>
      <c r="H19" s="73">
        <f>SUBTOTAL(109,ج_ح_فروردین2840[حق مسکن])</f>
        <v>54750000</v>
      </c>
      <c r="I19" s="73">
        <f>SUBTOTAL(109,ج_ح_فروردین2840[حق خواربار])</f>
        <v>73000000</v>
      </c>
      <c r="J19" s="73">
        <f>SUBTOTAL(109,ج_ح_فروردین2840[اضافه کاری])</f>
        <v>16800000</v>
      </c>
      <c r="K19" s="73">
        <f>SUBTOTAL(109,ج_ح_فروردین2840[جمع حقوق و مزایا])</f>
        <v>541415940</v>
      </c>
      <c r="L19" s="73">
        <f>SUBTOTAL(109,ج_ح_فروردین2840[[جمع حقوق و مزایای مشمول بیمه ]])</f>
        <v>509550000</v>
      </c>
      <c r="M19" s="73">
        <f>SUBTOTAL(109,ج_ح_فروردین2840[[جمع حقوق و مزایای مشمول مالیات ]])</f>
        <v>541415940</v>
      </c>
      <c r="N19" s="73">
        <f>SUBTOTAL(109,ج_ح_فروردین2840[سهم بیمه کارمند 7%])</f>
        <v>35668500.000000007</v>
      </c>
      <c r="O19" s="73">
        <f>SUBTOTAL(109,ج_ح_فروردین2840[کل حق بیمه 30%])</f>
        <v>152865000</v>
      </c>
      <c r="P19" s="73">
        <f>SUBTOTAL(109,ج_ح_فروردین2840[وام])</f>
        <v>0</v>
      </c>
      <c r="Q19" s="73">
        <f>SUBTOTAL(109,ج_ح_فروردین2840[مساعده])</f>
        <v>0</v>
      </c>
      <c r="R19" s="73">
        <f>SUBTOTAL(109,ج_ح_فروردین2840[مالیات پرداختنی])</f>
        <v>0</v>
      </c>
      <c r="S19" s="73">
        <f>SUBTOTAL(109,ج_ح_فروردین2840[جمع کسورات])</f>
        <v>35668500.000000007</v>
      </c>
      <c r="T19" s="73">
        <f>SUBTOTAL(109,ج_ح_فروردین2840[خالص قابل پرداخت])</f>
        <v>505747440</v>
      </c>
      <c r="U19" s="73"/>
      <c r="V19" s="73"/>
    </row>
    <row r="20" spans="2:22" ht="8.1" customHeight="1"/>
  </sheetData>
  <sheetProtection formatCells="0" selectLockedCells="1" sort="0" autoFilter="0"/>
  <mergeCells count="23">
    <mergeCell ref="B2:V2"/>
    <mergeCell ref="B3:V3"/>
    <mergeCell ref="B4:B5"/>
    <mergeCell ref="D4:D5"/>
    <mergeCell ref="E4:E5"/>
    <mergeCell ref="F4:F5"/>
    <mergeCell ref="G4:G5"/>
    <mergeCell ref="H4:H5"/>
    <mergeCell ref="I4:I5"/>
    <mergeCell ref="J4:J5"/>
    <mergeCell ref="U4:U5"/>
    <mergeCell ref="V4:V5"/>
    <mergeCell ref="P4:P5"/>
    <mergeCell ref="Q4:Q5"/>
    <mergeCell ref="S4:S5"/>
    <mergeCell ref="T4:T5"/>
    <mergeCell ref="O4:O5"/>
    <mergeCell ref="R4:R5"/>
    <mergeCell ref="M4:M5"/>
    <mergeCell ref="C4:C5"/>
    <mergeCell ref="K4:K5"/>
    <mergeCell ref="L4:L5"/>
    <mergeCell ref="N4:N5"/>
  </mergeCells>
  <printOptions horizontalCentered="1"/>
  <pageMargins left="0" right="0" top="0.39370078740157483" bottom="0" header="0" footer="0"/>
  <pageSetup paperSize="9" scale="32"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سیراف حساب</vt:lpstr>
      <vt:lpstr>محاسبه حقوق سال 1400</vt:lpstr>
      <vt:lpstr>جدول مالیات حقوق سال 1400</vt:lpstr>
      <vt:lpstr>قوانین پایه</vt:lpstr>
      <vt:lpstr>معافیت های مالیاتی و بیمه</vt:lpstr>
      <vt:lpstr>جداول حقوق و دستمزد</vt:lpstr>
      <vt:lpstr>جدول تجمیعی</vt:lpstr>
      <vt:lpstr>لیست ارائه شده به دارایی</vt:lpstr>
      <vt:lpstr>'جداول حقوق و دستمزد'!Print_Area</vt:lpstr>
      <vt:lpstr>'جدول تجمیعی'!Print_Area</vt:lpstr>
      <vt:lpstr>'لیست ارائه شده به دارایی'!Print_Area</vt:lpstr>
      <vt:lpstr>پایه_سنوات_روزانه</vt:lpstr>
      <vt:lpstr>تعداد_روزهای_کاری_در_هفته</vt:lpstr>
      <vt:lpstr>حداقل_حقوق_پایه_روزانه</vt:lpstr>
      <vt:lpstr>حداقل_حقوق_ماهانه_30_روزه</vt:lpstr>
      <vt:lpstr>حق_اولاد_یک_نفر</vt:lpstr>
      <vt:lpstr>حق_خواربار</vt:lpstr>
      <vt:lpstr>حق_مسکن</vt:lpstr>
      <vt:lpstr>متوسط_ساعت_کاری_روزانه</vt:lpstr>
      <vt:lpstr>مرخصی_سالانه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 ali</dc:creator>
  <cp:lastModifiedBy>Mohamad</cp:lastModifiedBy>
  <dcterms:created xsi:type="dcterms:W3CDTF">2021-08-16T09:10:07Z</dcterms:created>
  <dcterms:modified xsi:type="dcterms:W3CDTF">2022-06-06T18:30:15Z</dcterms:modified>
</cp:coreProperties>
</file>